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X:\DespachoMinistro\Oficina de Planeacion\049- PLANEACION ESTRATEGICA-PLAN DE DESARROLLO\PND 2018-2022\0. PND - PEI\2. PEI\Seguimiento 2022\"/>
    </mc:Choice>
  </mc:AlternateContent>
  <xr:revisionPtr revIDLastSave="0" documentId="13_ncr:1_{4CD0C47C-0954-463F-A818-0433476A8B93}" xr6:coauthVersionLast="45" xr6:coauthVersionMax="47" xr10:uidLastSave="{00000000-0000-0000-0000-000000000000}"/>
  <bookViews>
    <workbookView xWindow="-120" yWindow="-120" windowWidth="29040" windowHeight="15840" tabRatio="940" firstSheet="3" activeTab="3" xr2:uid="{00000000-000D-0000-FFFF-FFFF00000000}"/>
  </bookViews>
  <sheets>
    <sheet name="PEI_2019" sheetId="8" state="hidden" r:id="rId1"/>
    <sheet name="Tbla" sheetId="10" state="hidden" r:id="rId2"/>
    <sheet name="Plan_Estrategico_Institucio_(0)" sheetId="11" state="hidden" r:id="rId3"/>
    <sheet name="PEI 2019-2022" sheetId="24" r:id="rId4"/>
  </sheets>
  <definedNames>
    <definedName name="_xlnm._FilterDatabase" localSheetId="3" hidden="1">'PEI 2019-2022'!$A$4:$AE$76</definedName>
    <definedName name="_xlnm._FilterDatabase" localSheetId="2" hidden="1">'Plan_Estrategico_Institucio_(0)'!$A$4:$W$77</definedName>
    <definedName name="_xlnm.Print_Area" localSheetId="3">'PEI 2019-2022'!$A$1:$X$76</definedName>
    <definedName name="_xlnm.Print_Area" localSheetId="2">'Plan_Estrategico_Institucio_(0)'!$A$1:$R$83</definedName>
    <definedName name="kronos_MCSIG_PPP" localSheetId="0" hidden="1">PEI_2019!$A$1:$L$77</definedName>
    <definedName name="MIPG_1">#REF!</definedName>
    <definedName name="OBES_0">#REF!</definedName>
    <definedName name="OBES_1">#REF!</definedName>
    <definedName name="OBES_2">#REF!</definedName>
    <definedName name="OBES_3">#REF!</definedName>
    <definedName name="OBES_4">#REF!</definedName>
    <definedName name="OBES_5">#REF!</definedName>
    <definedName name="OBES_6">#REF!</definedName>
    <definedName name="OBES_7">#REF!</definedName>
    <definedName name="OBES_8">#REF!</definedName>
    <definedName name="TIPO_G">#REF!</definedName>
    <definedName name="_xlnm.Print_Titles" localSheetId="3">'PEI 2019-2022'!$4:$4</definedName>
    <definedName name="_xlnm.Print_Titles" localSheetId="2">'Plan_Estrategico_Institucio_(0)'!$4:$4</definedName>
  </definedNames>
  <calcPr calcId="191029"/>
  <pivotCaches>
    <pivotCache cacheId="15"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74" i="24" l="1"/>
  <c r="AA21" i="24"/>
  <c r="Z11" i="24" l="1"/>
  <c r="AA39" i="24" l="1"/>
  <c r="AB39" i="24" s="1"/>
  <c r="Z39" i="24"/>
  <c r="Z17" i="24" l="1"/>
  <c r="AA16" i="24"/>
  <c r="AB16" i="24" s="1"/>
  <c r="Z16" i="24"/>
  <c r="AA76" i="24" l="1"/>
  <c r="AB76" i="24" s="1"/>
  <c r="Z76" i="24"/>
  <c r="AA74" i="24"/>
  <c r="AB74" i="24" s="1"/>
  <c r="AA73" i="24"/>
  <c r="AB73" i="24" s="1"/>
  <c r="Z73" i="24"/>
  <c r="AA72" i="24"/>
  <c r="AB72" i="24" s="1"/>
  <c r="Z72" i="24"/>
  <c r="AA71" i="24"/>
  <c r="AB71" i="24" s="1"/>
  <c r="Z71" i="24"/>
  <c r="Z70" i="24"/>
  <c r="AA70" i="24"/>
  <c r="AB70" i="24" s="1"/>
  <c r="AA69" i="24"/>
  <c r="AB69" i="24" s="1"/>
  <c r="Z69" i="24"/>
  <c r="AA68" i="24"/>
  <c r="AB68" i="24" s="1"/>
  <c r="Z68" i="24"/>
  <c r="AA67" i="24"/>
  <c r="AB67" i="24" s="1"/>
  <c r="Z67" i="24"/>
  <c r="AA66" i="24"/>
  <c r="AB66" i="24" s="1"/>
  <c r="Z66" i="24"/>
  <c r="AA65" i="24"/>
  <c r="AB65" i="24" s="1"/>
  <c r="Z65" i="24"/>
  <c r="Z64" i="24"/>
  <c r="Z58" i="24"/>
  <c r="AA56" i="24"/>
  <c r="AB56" i="24" s="1"/>
  <c r="Z56" i="24"/>
  <c r="AA50" i="24"/>
  <c r="Z34" i="24"/>
  <c r="AA41" i="24" l="1"/>
  <c r="AB41" i="24" s="1"/>
  <c r="Z41" i="24"/>
  <c r="AA40" i="24"/>
  <c r="AB40" i="24" s="1"/>
  <c r="Z40" i="24"/>
  <c r="AA12" i="24" l="1"/>
  <c r="AB12" i="24" s="1"/>
  <c r="Z12" i="24"/>
  <c r="AA25" i="24"/>
  <c r="AB25" i="24" s="1"/>
  <c r="Z25" i="24"/>
  <c r="Z21" i="24"/>
  <c r="Z10" i="24"/>
  <c r="AA60" i="24"/>
  <c r="AB60" i="24" s="1"/>
  <c r="Z60" i="24"/>
  <c r="AA59" i="24"/>
  <c r="AB59" i="24" s="1"/>
  <c r="AA53" i="24"/>
  <c r="AB53" i="24" s="1"/>
  <c r="Z53" i="24" l="1"/>
  <c r="AA52" i="24"/>
  <c r="AB52" i="24" s="1"/>
  <c r="Z52" i="24"/>
  <c r="AA48" i="24"/>
  <c r="AB48" i="24" s="1"/>
  <c r="Z48" i="24"/>
  <c r="AA47" i="24"/>
  <c r="AB47" i="24" s="1"/>
  <c r="Z47" i="24"/>
  <c r="AA46" i="24"/>
  <c r="AB46" i="24" s="1"/>
  <c r="AA45" i="24"/>
  <c r="AB45" i="24" s="1"/>
  <c r="Z45" i="24"/>
  <c r="AA14" i="24" l="1"/>
  <c r="AB14" i="24" s="1"/>
  <c r="Z14" i="24"/>
  <c r="AA13" i="24"/>
  <c r="AB13" i="24" s="1"/>
  <c r="Z13" i="24"/>
  <c r="Z51" i="24"/>
  <c r="AA43" i="24"/>
  <c r="AB43" i="24" s="1"/>
  <c r="Z43" i="24"/>
  <c r="AB49" i="24"/>
  <c r="Z49" i="24"/>
  <c r="AA29" i="24"/>
  <c r="AB29" i="24" s="1"/>
  <c r="Z29" i="24"/>
  <c r="AA28" i="24"/>
  <c r="AB28" i="24" s="1"/>
  <c r="Z28" i="24"/>
  <c r="AA63" i="24"/>
  <c r="AB63" i="24" s="1"/>
  <c r="AA24" i="24"/>
  <c r="AB24" i="24" s="1"/>
  <c r="Z63" i="24"/>
  <c r="Z24" i="24"/>
  <c r="AB50" i="24" l="1"/>
  <c r="W6" i="24"/>
  <c r="Z6" i="24" l="1"/>
  <c r="AA6" i="24"/>
  <c r="AB6" i="24" s="1"/>
  <c r="U13" i="24"/>
  <c r="V13" i="24"/>
  <c r="W13" i="24" s="1"/>
  <c r="U39" i="24"/>
  <c r="U56" i="24"/>
  <c r="W56" i="24"/>
  <c r="U76" i="24" l="1"/>
  <c r="W76" i="24"/>
  <c r="U75" i="24"/>
  <c r="V75" i="24"/>
  <c r="W75" i="24" l="1"/>
  <c r="Y75" i="24"/>
  <c r="U74" i="24"/>
  <c r="V74" i="24"/>
  <c r="W74" i="24" s="1"/>
  <c r="W73" i="24"/>
  <c r="U73" i="24"/>
  <c r="W72" i="24"/>
  <c r="U72" i="24"/>
  <c r="U71" i="24"/>
  <c r="W71" i="24"/>
  <c r="W70" i="24"/>
  <c r="U70" i="24"/>
  <c r="W68" i="24"/>
  <c r="U68" i="24"/>
  <c r="U69" i="24"/>
  <c r="V69" i="24"/>
  <c r="W69" i="24" s="1"/>
  <c r="W65" i="24"/>
  <c r="U65" i="24"/>
  <c r="V65" i="24"/>
  <c r="U64" i="24"/>
  <c r="U62" i="24"/>
  <c r="V62" i="24"/>
  <c r="Y62" i="24" s="1"/>
  <c r="U58" i="24"/>
  <c r="Q58" i="24"/>
  <c r="V58" i="24" s="1"/>
  <c r="U61" i="24"/>
  <c r="W59" i="24"/>
  <c r="W63" i="24"/>
  <c r="U63" i="24"/>
  <c r="U57" i="24"/>
  <c r="V57" i="24"/>
  <c r="U55" i="24"/>
  <c r="V55" i="24"/>
  <c r="U53" i="24"/>
  <c r="U24" i="24"/>
  <c r="U28" i="24"/>
  <c r="U29" i="24"/>
  <c r="U40" i="24"/>
  <c r="U45" i="24"/>
  <c r="U52" i="24"/>
  <c r="V53" i="24"/>
  <c r="W53" i="24" s="1"/>
  <c r="W52" i="24"/>
  <c r="U51" i="24"/>
  <c r="U49" i="24"/>
  <c r="W58" i="24" l="1"/>
  <c r="AA58" i="24"/>
  <c r="AB58" i="24" s="1"/>
  <c r="W62" i="24"/>
  <c r="W55" i="24"/>
  <c r="W57" i="24"/>
  <c r="Y57" i="24"/>
  <c r="AA75" i="24"/>
  <c r="AB75" i="24" s="1"/>
  <c r="O86" i="24" s="1"/>
  <c r="Z75" i="24"/>
  <c r="W47" i="24"/>
  <c r="Z57" i="24" l="1"/>
  <c r="AA57" i="24"/>
  <c r="AB57" i="24" s="1"/>
  <c r="Z55" i="24"/>
  <c r="AA55" i="24"/>
  <c r="AB55" i="24" s="1"/>
  <c r="Z62" i="24"/>
  <c r="AA62" i="24"/>
  <c r="AB62" i="24" s="1"/>
  <c r="W46" i="24"/>
  <c r="W45" i="24"/>
  <c r="U46" i="24"/>
  <c r="U34" i="24"/>
  <c r="V40" i="24"/>
  <c r="W40" i="24" s="1"/>
  <c r="V39" i="24" l="1"/>
  <c r="W39" i="24" s="1"/>
  <c r="U37" i="24"/>
  <c r="V37" i="24"/>
  <c r="U33" i="24"/>
  <c r="V33" i="24"/>
  <c r="Y33" i="24" s="1"/>
  <c r="V25" i="24"/>
  <c r="W25" i="24" s="1"/>
  <c r="V29" i="24"/>
  <c r="W29" i="24" s="1"/>
  <c r="Z33" i="24" l="1"/>
  <c r="AA33" i="24"/>
  <c r="AB33" i="24" s="1"/>
  <c r="W37" i="24"/>
  <c r="AA37" i="24"/>
  <c r="AB37" i="24" s="1"/>
  <c r="W33" i="24"/>
  <c r="V28" i="24"/>
  <c r="W28" i="24" s="1"/>
  <c r="V24" i="24"/>
  <c r="W24" i="24" s="1"/>
  <c r="V21" i="24"/>
  <c r="V17" i="24"/>
  <c r="V16" i="24"/>
  <c r="W16" i="24" s="1"/>
  <c r="V14" i="24"/>
  <c r="V12" i="24"/>
  <c r="W12" i="24" s="1"/>
  <c r="V11" i="24"/>
  <c r="AA11" i="24" s="1"/>
  <c r="AB11" i="24" s="1"/>
  <c r="V8" i="24"/>
  <c r="V6" i="24"/>
  <c r="U20" i="24"/>
  <c r="U19" i="24"/>
  <c r="Q10" i="24"/>
  <c r="V10" i="24" s="1"/>
  <c r="AA10" i="24" s="1"/>
  <c r="AB10" i="24" s="1"/>
  <c r="W66" i="24"/>
  <c r="W67" i="24"/>
  <c r="U6" i="24"/>
  <c r="U25" i="24"/>
  <c r="U21" i="24"/>
  <c r="U17" i="24"/>
  <c r="U16" i="24"/>
  <c r="U12" i="24"/>
  <c r="U10" i="24"/>
  <c r="U7" i="24"/>
  <c r="W8" i="24" l="1"/>
  <c r="AA8" i="24"/>
  <c r="AB8" i="24" s="1"/>
  <c r="W11" i="24"/>
  <c r="W17" i="24"/>
  <c r="AA17" i="24"/>
  <c r="AB17" i="24" s="1"/>
  <c r="W10" i="24"/>
  <c r="W21" i="24"/>
  <c r="AB21" i="24"/>
  <c r="W14" i="24"/>
  <c r="U8" i="24"/>
  <c r="U14" i="24"/>
  <c r="U67" i="24" l="1"/>
  <c r="U66" i="24"/>
  <c r="Q76" i="24"/>
  <c r="R76" i="24" s="1"/>
  <c r="P76" i="24"/>
  <c r="Q75" i="24"/>
  <c r="R75" i="24" s="1"/>
  <c r="P75" i="24"/>
  <c r="Q74" i="24"/>
  <c r="R74" i="24" s="1"/>
  <c r="P74" i="24"/>
  <c r="Q73" i="24"/>
  <c r="R73" i="24" s="1"/>
  <c r="P73" i="24"/>
  <c r="Q72" i="24"/>
  <c r="R72" i="24" s="1"/>
  <c r="P72" i="24"/>
  <c r="Q71" i="24"/>
  <c r="R71" i="24" s="1"/>
  <c r="P71" i="24"/>
  <c r="Q70" i="24"/>
  <c r="R70" i="24" s="1"/>
  <c r="P70" i="24"/>
  <c r="Q69" i="24"/>
  <c r="R69" i="24" s="1"/>
  <c r="P69" i="24"/>
  <c r="Q68" i="24"/>
  <c r="R68" i="24" s="1"/>
  <c r="P68" i="24"/>
  <c r="Q67" i="24"/>
  <c r="R67" i="24" s="1"/>
  <c r="P67" i="24"/>
  <c r="Q66" i="24"/>
  <c r="R66" i="24" s="1"/>
  <c r="P66" i="24"/>
  <c r="Q65" i="24"/>
  <c r="R65" i="24" s="1"/>
  <c r="P65" i="24"/>
  <c r="Q64" i="24"/>
  <c r="P64" i="24"/>
  <c r="Q63" i="24"/>
  <c r="R63" i="24" s="1"/>
  <c r="P63" i="24"/>
  <c r="Q62" i="24"/>
  <c r="R62" i="24" s="1"/>
  <c r="P62" i="24"/>
  <c r="Q61" i="24"/>
  <c r="P61" i="24"/>
  <c r="Q60" i="24"/>
  <c r="R60" i="24" s="1"/>
  <c r="P60" i="24"/>
  <c r="R59" i="24"/>
  <c r="R58" i="24"/>
  <c r="P58" i="24"/>
  <c r="Q57" i="24"/>
  <c r="R57" i="24" s="1"/>
  <c r="P57" i="24"/>
  <c r="Q56" i="24"/>
  <c r="R56" i="24" s="1"/>
  <c r="P56" i="24"/>
  <c r="Q55" i="24"/>
  <c r="R55" i="24" s="1"/>
  <c r="P55" i="24"/>
  <c r="Q54" i="24"/>
  <c r="P54" i="24"/>
  <c r="Q53" i="24"/>
  <c r="R53" i="24" s="1"/>
  <c r="P53" i="24"/>
  <c r="Q52" i="24"/>
  <c r="R52" i="24" s="1"/>
  <c r="P52" i="24"/>
  <c r="Q51" i="24"/>
  <c r="P51" i="24"/>
  <c r="Q50" i="24"/>
  <c r="R50" i="24" s="1"/>
  <c r="P50" i="24"/>
  <c r="Q49" i="24"/>
  <c r="R49" i="24" s="1"/>
  <c r="P49" i="24"/>
  <c r="Q48" i="24"/>
  <c r="P48" i="24"/>
  <c r="Q47" i="24"/>
  <c r="R47" i="24" s="1"/>
  <c r="P47" i="24"/>
  <c r="Q46" i="24"/>
  <c r="R46" i="24" s="1"/>
  <c r="P46" i="24"/>
  <c r="Q45" i="24"/>
  <c r="R45" i="24" s="1"/>
  <c r="P45" i="24"/>
  <c r="Q44" i="24"/>
  <c r="P44" i="24"/>
  <c r="Q43" i="24"/>
  <c r="P43" i="24"/>
  <c r="Q42" i="24"/>
  <c r="P42" i="24"/>
  <c r="Q40" i="24"/>
  <c r="R40" i="24" s="1"/>
  <c r="P40" i="24"/>
  <c r="Q39" i="24"/>
  <c r="R39" i="24" s="1"/>
  <c r="P39" i="24"/>
  <c r="Q38" i="24"/>
  <c r="P38" i="24"/>
  <c r="Q37" i="24"/>
  <c r="R37" i="24" s="1"/>
  <c r="P37" i="24"/>
  <c r="Q36" i="24"/>
  <c r="P36" i="24"/>
  <c r="Q35" i="24"/>
  <c r="P35" i="24"/>
  <c r="Q34" i="24"/>
  <c r="P34" i="24"/>
  <c r="Q33" i="24"/>
  <c r="R33" i="24" s="1"/>
  <c r="P33" i="24"/>
  <c r="Q32" i="24"/>
  <c r="Q31" i="24"/>
  <c r="P31" i="24"/>
  <c r="Q30" i="24"/>
  <c r="P30" i="24"/>
  <c r="Q29" i="24"/>
  <c r="R29" i="24" s="1"/>
  <c r="P29" i="24"/>
  <c r="Q28" i="24"/>
  <c r="R28" i="24" s="1"/>
  <c r="P28" i="24"/>
  <c r="Q27" i="24"/>
  <c r="P27" i="24"/>
  <c r="Q26" i="24"/>
  <c r="P26" i="24"/>
  <c r="Q25" i="24"/>
  <c r="R25" i="24" s="1"/>
  <c r="P25" i="24"/>
  <c r="Q24" i="24"/>
  <c r="R24" i="24" s="1"/>
  <c r="P24" i="24"/>
  <c r="Q23" i="24"/>
  <c r="R23" i="24" s="1"/>
  <c r="P23" i="24"/>
  <c r="Q22" i="24"/>
  <c r="R22" i="24" s="1"/>
  <c r="P22" i="24"/>
  <c r="Q21" i="24"/>
  <c r="R21" i="24" s="1"/>
  <c r="P21" i="24"/>
  <c r="Q20" i="24"/>
  <c r="V20" i="24" s="1"/>
  <c r="P20" i="24"/>
  <c r="Q19" i="24"/>
  <c r="P19" i="24"/>
  <c r="Q18" i="24"/>
  <c r="P18" i="24"/>
  <c r="U18" i="24" s="1"/>
  <c r="Q17" i="24"/>
  <c r="R17" i="24" s="1"/>
  <c r="P17" i="24"/>
  <c r="Q16" i="24"/>
  <c r="R16" i="24" s="1"/>
  <c r="P16" i="24"/>
  <c r="Q15" i="24"/>
  <c r="V15" i="24" s="1"/>
  <c r="W15" i="24" s="1"/>
  <c r="AB15" i="24" s="1"/>
  <c r="P15" i="24"/>
  <c r="Q14" i="24"/>
  <c r="R14" i="24" s="1"/>
  <c r="P14" i="24"/>
  <c r="Q13" i="24"/>
  <c r="R13" i="24" s="1"/>
  <c r="P13" i="24"/>
  <c r="Q12" i="24"/>
  <c r="R12" i="24" s="1"/>
  <c r="P12" i="24"/>
  <c r="R11" i="24"/>
  <c r="P11" i="24"/>
  <c r="P10" i="24"/>
  <c r="Q9" i="24"/>
  <c r="R9" i="24" s="1"/>
  <c r="P9" i="24"/>
  <c r="Q7" i="24"/>
  <c r="V7" i="24" s="1"/>
  <c r="P7" i="24"/>
  <c r="Q6" i="24"/>
  <c r="R6" i="24" s="1"/>
  <c r="P6" i="24"/>
  <c r="W7" i="24" l="1"/>
  <c r="AA7" i="24"/>
  <c r="AB7" i="24" s="1"/>
  <c r="W20" i="24"/>
  <c r="AB20" i="24"/>
  <c r="R36" i="24"/>
  <c r="T36" i="24"/>
  <c r="R42" i="24"/>
  <c r="T42" i="24"/>
  <c r="R54" i="24"/>
  <c r="T54" i="24"/>
  <c r="R44" i="24"/>
  <c r="T44" i="24"/>
  <c r="R48" i="24"/>
  <c r="T48" i="24"/>
  <c r="R32" i="24"/>
  <c r="U32" i="24" s="1"/>
  <c r="V32" i="24"/>
  <c r="R34" i="24"/>
  <c r="V34" i="24"/>
  <c r="R38" i="24"/>
  <c r="T38" i="24"/>
  <c r="R51" i="24"/>
  <c r="V51" i="24"/>
  <c r="R18" i="24"/>
  <c r="V18" i="24"/>
  <c r="R64" i="24"/>
  <c r="V64" i="24"/>
  <c r="R35" i="24"/>
  <c r="T35" i="24"/>
  <c r="R19" i="24"/>
  <c r="V19" i="24"/>
  <c r="R31" i="24"/>
  <c r="T31" i="24"/>
  <c r="R61" i="24"/>
  <c r="V61" i="24"/>
  <c r="Y61" i="24" s="1"/>
  <c r="R15" i="24"/>
  <c r="R20" i="24"/>
  <c r="R7" i="24"/>
  <c r="R10" i="24"/>
  <c r="R30" i="24"/>
  <c r="T30" i="24"/>
  <c r="V30" i="24" s="1"/>
  <c r="Y30" i="24" s="1"/>
  <c r="R27" i="24"/>
  <c r="T27" i="24"/>
  <c r="V27" i="24" s="1"/>
  <c r="R26" i="24"/>
  <c r="T26" i="24"/>
  <c r="R43" i="24"/>
  <c r="T43" i="24"/>
  <c r="T23" i="24"/>
  <c r="T60" i="24"/>
  <c r="T22" i="24"/>
  <c r="T9" i="24"/>
  <c r="V9" i="24" s="1"/>
  <c r="T47" i="24"/>
  <c r="W64" i="24" l="1"/>
  <c r="AA64" i="24"/>
  <c r="AB64" i="24" s="1"/>
  <c r="W34" i="24"/>
  <c r="AA34" i="24"/>
  <c r="AB34" i="24" s="1"/>
  <c r="W61" i="24"/>
  <c r="W30" i="24"/>
  <c r="W18" i="24"/>
  <c r="AB18" i="24" s="1"/>
  <c r="AA18" i="24"/>
  <c r="W32" i="24"/>
  <c r="AB32" i="24" s="1"/>
  <c r="AA32" i="24"/>
  <c r="W19" i="24"/>
  <c r="AA19" i="24"/>
  <c r="AB19" i="24" s="1"/>
  <c r="W9" i="24"/>
  <c r="AA9" i="24"/>
  <c r="AB9" i="24" s="1"/>
  <c r="O79" i="24" s="1"/>
  <c r="W27" i="24"/>
  <c r="AA27" i="24"/>
  <c r="AB27" i="24" s="1"/>
  <c r="W51" i="24"/>
  <c r="AA51" i="24"/>
  <c r="AB51" i="24" s="1"/>
  <c r="V22" i="24"/>
  <c r="W22" i="24" s="1"/>
  <c r="AA22" i="24"/>
  <c r="AB22" i="24" s="1"/>
  <c r="V23" i="24"/>
  <c r="W23" i="24" s="1"/>
  <c r="AA23" i="24"/>
  <c r="AB23" i="24" s="1"/>
  <c r="W54" i="24"/>
  <c r="U54" i="24"/>
  <c r="V54" i="24"/>
  <c r="Y54" i="24" s="1"/>
  <c r="V43" i="24"/>
  <c r="W43" i="24" s="1"/>
  <c r="U43" i="24"/>
  <c r="U42" i="24"/>
  <c r="V42" i="24"/>
  <c r="Y42" i="24" s="1"/>
  <c r="U48" i="24"/>
  <c r="V48" i="24"/>
  <c r="W48" i="24" s="1"/>
  <c r="V38" i="24"/>
  <c r="Y38" i="24" s="1"/>
  <c r="U38" i="24"/>
  <c r="U36" i="24"/>
  <c r="V36" i="24"/>
  <c r="Y36" i="24" s="1"/>
  <c r="U60" i="24"/>
  <c r="V60" i="24"/>
  <c r="W60" i="24" s="1"/>
  <c r="V31" i="24"/>
  <c r="U31" i="24"/>
  <c r="V26" i="24"/>
  <c r="Y26" i="24" s="1"/>
  <c r="AA26" i="24" s="1"/>
  <c r="AB26" i="24" s="1"/>
  <c r="U26" i="24"/>
  <c r="U35" i="24"/>
  <c r="V35" i="24"/>
  <c r="Y35" i="24" s="1"/>
  <c r="V44" i="24"/>
  <c r="Y44" i="24" s="1"/>
  <c r="U44" i="24"/>
  <c r="U47" i="24"/>
  <c r="U9" i="24"/>
  <c r="U30" i="24"/>
  <c r="U27" i="24"/>
  <c r="U23" i="24"/>
  <c r="U22" i="24"/>
  <c r="O38" i="11"/>
  <c r="O76" i="11"/>
  <c r="O70" i="11"/>
  <c r="O65" i="11"/>
  <c r="O64" i="11"/>
  <c r="O63" i="11"/>
  <c r="O62" i="11"/>
  <c r="O61" i="11"/>
  <c r="O60" i="11"/>
  <c r="O58" i="11"/>
  <c r="O56" i="11"/>
  <c r="O55" i="11"/>
  <c r="O54" i="11"/>
  <c r="O53" i="11"/>
  <c r="O52" i="11"/>
  <c r="O50" i="11"/>
  <c r="O49" i="11"/>
  <c r="O48" i="11"/>
  <c r="O47" i="11"/>
  <c r="O46" i="11"/>
  <c r="O45" i="11"/>
  <c r="O43" i="11"/>
  <c r="O42" i="11"/>
  <c r="O40" i="11"/>
  <c r="O39" i="11"/>
  <c r="O37" i="11"/>
  <c r="O36" i="11"/>
  <c r="O35" i="11"/>
  <c r="O34" i="11"/>
  <c r="O32" i="11"/>
  <c r="O31" i="11"/>
  <c r="O30" i="11"/>
  <c r="O27" i="11"/>
  <c r="O26" i="11"/>
  <c r="O24" i="11"/>
  <c r="O20" i="11"/>
  <c r="O19" i="11"/>
  <c r="O18" i="11"/>
  <c r="O17" i="11"/>
  <c r="O16" i="11"/>
  <c r="O14" i="11"/>
  <c r="O12" i="11"/>
  <c r="G78" i="8"/>
  <c r="J78" i="8"/>
  <c r="M2" i="8"/>
  <c r="M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N2" i="8"/>
  <c r="N3" i="8"/>
  <c r="N4" i="8"/>
  <c r="N5" i="8"/>
  <c r="N6" i="8"/>
  <c r="N7" i="8"/>
  <c r="N8" i="8"/>
  <c r="N78" i="8" s="1"/>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Q2" i="8"/>
  <c r="AA61" i="24" l="1"/>
  <c r="AB61" i="24" s="1"/>
  <c r="O85" i="24" s="1"/>
  <c r="Z61" i="24"/>
  <c r="W35" i="24"/>
  <c r="W36" i="24"/>
  <c r="Z54" i="24"/>
  <c r="AA54" i="24"/>
  <c r="AB54" i="24" s="1"/>
  <c r="O84" i="24" s="1"/>
  <c r="W38" i="24"/>
  <c r="W42" i="24"/>
  <c r="O80" i="24"/>
  <c r="W31" i="24"/>
  <c r="Y31" i="24"/>
  <c r="AA30" i="24"/>
  <c r="AB30" i="24" s="1"/>
  <c r="Z30" i="24"/>
  <c r="W44" i="24"/>
  <c r="W26" i="24"/>
  <c r="Z42" i="24" l="1"/>
  <c r="AA42" i="24"/>
  <c r="AB42" i="24" s="1"/>
  <c r="Z36" i="24"/>
  <c r="AA36" i="24"/>
  <c r="AB36" i="24" s="1"/>
  <c r="AA38" i="24"/>
  <c r="AB38" i="24" s="1"/>
  <c r="O82" i="24" s="1"/>
  <c r="Z38" i="24"/>
  <c r="AA35" i="24"/>
  <c r="AB35" i="24" s="1"/>
  <c r="Z35" i="24"/>
  <c r="Z31" i="24"/>
  <c r="AA31" i="24"/>
  <c r="AB31" i="24" s="1"/>
  <c r="AA44" i="24"/>
  <c r="AB44" i="24" s="1"/>
  <c r="Z44" i="24"/>
  <c r="Z26" i="24"/>
  <c r="O83" i="24" l="1"/>
  <c r="O81" i="24"/>
  <c r="O87" i="2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1000000}" keepAlive="1" name="kronos MCSIG PEI" type="5" refreshedVersion="6" background="1" saveData="1">
    <dbPr connection="Provider=SQLOLEDB.1;Persist Security Info=True;User ID=dbusr_mcsiglec;Initial Catalog=MCSIG;Data Source=mckansa;Use Procedure for Prepare=1;Auto Translate=True;Packet Size=4096;Workstation ID=SISTEMAS07;Use Encryption for Data=False;Tag with column collation when possible=False" command="SELECT        SIGII.SIGII_OBJETIVO_ESTRATEGICO.OBJ_ID, SIGII.SIGII_OBJETIVO_ESTRATEGICO.OBJ_DESCRIPCION, SIGII.SIGII_ESTRATEGIA.EST_ID, _x000d__x000a_                         SIGII.SIGII_ESTRATEGIA.EST_DESCRIPCION, SIGII.SIGII_INDICADORES.SIN_ID, SIGII.SIGII_INDICADORES.SIN_NOMBRE, _x000d__x000a_                         SIGII.SIGII_INDICADORES_PROGRAMACION.SIP_CANTIDAD, SIGII.SIGII_INDICADORES_UNIDAD_MEDIDA.SIU_NUMBRE, SIGII.SIGII_DEPENDENCIA.DEP_NOMBRE, _x000d__x000a_                         SIGII.SIGII_INDICADORES_AVANCES.SIA_CANTIDAD, SIGII.SIGII_INDICADORES_AVANCES.SIA_OBSERVACIONES, _x000d__x000a_                         SIGII.SIGII_INDICADORES_AVANCES.SIA_FECHA_x000d__x000a_FROM            SIGII.SIGII_OBJETIVO_ESTRATEGICO INNER JOIN_x000d__x000a_                         SIGII.SIGII_ESTRATEGIA ON SIGII.SIGII_OBJETIVO_ESTRATEGICO.OBJ_ID = SIGII.SIGII_ESTRATEGIA.OBJ_ID INNER JOIN_x000d__x000a_                         SIGII.SIGII_ESTRATEGIA_INDICADORES ON SIGII.SIGII_ESTRATEGIA.EST_ID = SIGII.SIGII_ESTRATEGIA_INDICADORES.EST_ID INNER JOIN_x000d__x000a_                         SIGII.SIGII_INDICADORES ON SIGII.SIGII_ESTRATEGIA_INDICADORES.SIN_ID = SIGII.SIGII_INDICADORES.SIN_ID INNER JOIN_x000d__x000a_                         SIGII.SIGII_INDICADORES_PROGRAMACION ON SIGII.SIGII_INDICADORES.SIN_ID = SIGII.SIGII_INDICADORES_PROGRAMACION.SIN_ID INNER JOIN_x000d__x000a_                         SIGII.SIGII_INDICADORES_UNIDAD_MEDIDA ON SIGII.SIGII_INDICADORES.SIU_ID = SIGII.SIGII_INDICADORES_UNIDAD_MEDIDA.SIU_ID INNER JOIN_x000d__x000a_                         SIGII.SIGII_DEPENDENCIA ON SIGII.SIGII_INDICADORES.DEP_ID = SIGII.SIGII_DEPENDENCIA.DEP_ID LEFT OUTER JOIN_x000d__x000a_                         SIGII.SIGII_INDICADORES_AVANCES ON SIGII.SIGII_INDICADORES.SIN_ID = SIGII.SIGII_INDICADORES_AVANCES.SIN_ID_x000d__x000a_ORDER BY SIGII.SIGII_OBJETIVO_ESTRATEGICO.OBJ_ID, SIGII.SIGII_ESTRATEGIA.EST_DESCRIPCION"/>
  </connection>
</connections>
</file>

<file path=xl/sharedStrings.xml><?xml version="1.0" encoding="utf-8"?>
<sst xmlns="http://schemas.openxmlformats.org/spreadsheetml/2006/main" count="1437" uniqueCount="478">
  <si>
    <t>Formulación, desarrollo y actualización del marco normativo del sector cultura</t>
  </si>
  <si>
    <t>Oficina Asesora Jurídica</t>
  </si>
  <si>
    <t>Iniciativas legislativas presentadas ante el Congreso que inciden en el sector cultura, conceptualizadas</t>
  </si>
  <si>
    <t>Despacho del Viceministro de la Creatividad y la Economía Naranja</t>
  </si>
  <si>
    <t>Marco normativo generado para el desarrollo de la economia naranja</t>
  </si>
  <si>
    <t>Despacho de la Dirección de Patrimonio y Memoria</t>
  </si>
  <si>
    <t>Despacho de la Dirección de Artes</t>
  </si>
  <si>
    <t>Levantamiento y acceso de información del sector cultura</t>
  </si>
  <si>
    <t>Liderar la articulación entre los diferentes niveles de gobierno, los agentes del sector cultura y el sector privado para propiciar el acceso a la cultura, la innovación y el emprendimiento cultural desde nuestros territorios</t>
  </si>
  <si>
    <t>Fortalecimiento de la gestión cultural en los territorios</t>
  </si>
  <si>
    <t>Despacho de la Dirección de Fomento Regional</t>
  </si>
  <si>
    <t>Creadores y gestores culturales vinculados a los Beneficios Económicos Periódicos - BEPS</t>
  </si>
  <si>
    <t>Despacho del Ministro</t>
  </si>
  <si>
    <t>Municipios acompañados en el desarrollo de estrategias de Nodos de Emprendimiento Cultural</t>
  </si>
  <si>
    <t>Colectivos de mujeres atendidos con fortalecimiento de sus habilidades y capacidades de gestión.</t>
  </si>
  <si>
    <t>Pilotos con el programa "mujeres afro narran su territorio implementados" (componente emprendimiento).</t>
  </si>
  <si>
    <t>Áreas de Desarrollo Naranja (ADN) implementadas</t>
  </si>
  <si>
    <t>Fortalecimiento de los procesos de reparación colectiva de las comunidades con enfoque diferencial</t>
  </si>
  <si>
    <t>Medidas de reparación atendidas</t>
  </si>
  <si>
    <t>Ampliar la oferta institucional que contribuya al cierre de brechas sociales, impulsando las manifestaciones artísticas y culturales, los talentos creativos, la innovación y el desarrollo de nuevos emprendimientos.</t>
  </si>
  <si>
    <t>Promoción de hábitos de lectura en la población Colombiana con enfasis en la primera infancia, infancia, adolescencia y familias</t>
  </si>
  <si>
    <t>Libros digitales dispuestos al público por la Biblioteca Nacional de Colombia</t>
  </si>
  <si>
    <t>Usuarios registrados en las plataformas Maguaré y MaguaRED</t>
  </si>
  <si>
    <t>Formación para las artes, la cultura y la economía creativa</t>
  </si>
  <si>
    <t>Personas beneficiadas por programas de formación artística y cultural</t>
  </si>
  <si>
    <t>Despacho de la Dirección de Cinematografía</t>
  </si>
  <si>
    <t>Despacho de la Dirección de Comunicaciones</t>
  </si>
  <si>
    <t>Colectivos de comunicación fortalecidos en narrativas, creación y comunicación</t>
  </si>
  <si>
    <t>Pilotos con el programa "mujeres afro narran su territorio implementados". (componente creación)</t>
  </si>
  <si>
    <t>Impulso del consumo nacional de bienes y servicios artísticos y culturales</t>
  </si>
  <si>
    <t>Visitas de usuarios a los contenidos de la plataforma Retina Latina registradas</t>
  </si>
  <si>
    <t>Impulso de la difusión y el conocimiento de las expresiones artísticas y culturales</t>
  </si>
  <si>
    <t>Sinfónica</t>
  </si>
  <si>
    <t>Conciertos realizados para acercar al público a la experiencia de la musica sinfónica.</t>
  </si>
  <si>
    <t>Establecer alianzas estratégicas para la consecución de recursos que apoyen el desarrollo de procesos culturales.</t>
  </si>
  <si>
    <t>Instrumentos de Financiación diseñados y puestos en marcha (FIDETER, FNG, Aldea)</t>
  </si>
  <si>
    <t>Grupo de Politicas Culturales y Asuntos Internacionales</t>
  </si>
  <si>
    <t>Valor de los recursos técnicos y/o financieros gestionados a través de procesos de cooperación.</t>
  </si>
  <si>
    <t>Generar y consolidar espacios que faciliten entornos apropiados para el desarrollo de los procesos y proyectos artísticos y culturales</t>
  </si>
  <si>
    <t>Estructuración, construcción, adecuación y/o dotación de espacios para el desarrollo de las expresiones y manifestaciones culturales y artísticas propias de los territorios.</t>
  </si>
  <si>
    <t>Espacios físicos adecuados y/o mantenidos para el desarrollo de las funciones museológicas</t>
  </si>
  <si>
    <t>Diseño e eimplementación de circuitos regionales para la movilidad de los procesos y practicas artísticas y culturales en articulación con las infraestructuras y los programas existentes en el territorio.</t>
  </si>
  <si>
    <t>Circuitos regionales para la movilidad de los procesos y prácticas artísticas y culturales, diseñados y en funcionamiento</t>
  </si>
  <si>
    <t>Implementar acciones de protección, reconocimiento y salvaguarda del patrimonio cultural Colombiano para preservar e impulsar nuestra identidad nacional, desde los territorios</t>
  </si>
  <si>
    <t>Transmisión y conservación de los oficios de las artes y el patrimonio cultural para el desarrollo social de los territorios- Memoria en las manos</t>
  </si>
  <si>
    <t>Escuelas Taller de Colombia creadas</t>
  </si>
  <si>
    <t>Talleres Escuela creadas</t>
  </si>
  <si>
    <t>Fortalecimiento de la función social del patrimonio cultural con enfoque de promoción de las identidades culturales desde los territorios - Memoria de los Territorios</t>
  </si>
  <si>
    <t>Elementos inscritos en las Listas Representativas de Patrimonio Cultural Inmaterial y de Bienes de Interés Cultural de la Nación.</t>
  </si>
  <si>
    <t>Planes de conservación de colecciones ejecutados</t>
  </si>
  <si>
    <t>Impulsar procesos creativos culturales que generen valor social agregado y fortalezcan la identidad y memoria cultural, desde los territorios</t>
  </si>
  <si>
    <t>Proyectos artísticos y culturales financiados a través del Programa Nacional de Concertación Cultural</t>
  </si>
  <si>
    <t>Estímulos otorgados a proyectos artísticos y culturales</t>
  </si>
  <si>
    <t>Generación de “valor agregado naranja” en el sector productivo a partir del patrimonio cultural.</t>
  </si>
  <si>
    <t>Escuela Taller Naranja creada</t>
  </si>
  <si>
    <t>Unidades de negocio bajo el modelo de la Diáspora Africana en Colombia apoyadas</t>
  </si>
  <si>
    <t>Planes formulados y en ejecución</t>
  </si>
  <si>
    <t>Ejemplares de la colección "Historias de la Historia de Colombia" que hacen parte de la Serie Leer es mi cuento entregados</t>
  </si>
  <si>
    <t>Promoción de una gerencia efectiva de los recursos físicos y financieros</t>
  </si>
  <si>
    <t>Porcentaje de ejecución presupuestal</t>
  </si>
  <si>
    <t>Oficina Asesora de Planeación</t>
  </si>
  <si>
    <t>Porcentaje de reducción de gastos de logística, tiquetes, viáticos y publicidad (austeridad de gasto)</t>
  </si>
  <si>
    <t>Aseguramiento y fortalecimiento del Modelo Integrado de Planeación y Gestión en el Ministerio de Cultura</t>
  </si>
  <si>
    <t>Articulación y mejoramiento del Sistema Integrado de Gestión Institucional</t>
  </si>
  <si>
    <t>Nivel de integración de los subsistemas en el Sistema Integrado de Gestión Institucional</t>
  </si>
  <si>
    <t>Fortalecemiento del sistema de control interno y la lucha contra la corrupción</t>
  </si>
  <si>
    <t>Oficina de Control Interno</t>
  </si>
  <si>
    <t>Cumplimiento del Programa Anual de Auditorias Internas.</t>
  </si>
  <si>
    <t>Fortalecimiento de las estrategias de transparencia, participación y servicio al ciudadano</t>
  </si>
  <si>
    <t>Fortalecimiento de las políticas de gestión del Talento Humano</t>
  </si>
  <si>
    <t>Nivel de satisfacción de las capacitaciones realizadas</t>
  </si>
  <si>
    <t>Capacidad en la prestación de servicios de tecnología</t>
  </si>
  <si>
    <t>Fortalecimiento de la implementación de los instrumentos archivísticos para facilitar su utilización y garantizar su conservación y preservación a largo plazo.</t>
  </si>
  <si>
    <t>Instrumentos archivísticos implementados en el Ministerio de Cultura</t>
  </si>
  <si>
    <t>Fortalecimiento de la gestión jurídica de la entidad</t>
  </si>
  <si>
    <t>Porcentaje de fallos a favor de procesos judiciales en donde participe la entidad</t>
  </si>
  <si>
    <t>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t>
  </si>
  <si>
    <t xml:space="preserve">Formulación e implementación de Políticas Públicas del ámbito cultural con enfoque poblacional y territorial </t>
  </si>
  <si>
    <t xml:space="preserve">Plan Decenal de Lenguas Nativas concertado e implementado  </t>
  </si>
  <si>
    <t xml:space="preserve">Subsectores de la Cuenta Satélite de Cultura medidos </t>
  </si>
  <si>
    <t xml:space="preserve">Entidades territoriales asesoradas en la estrategia de Fomento a la Gestión Cultural </t>
  </si>
  <si>
    <t xml:space="preserve">Coordinación y seguimiento a las intervenciones en los territorios a partir de las necesidades priorizadas por estos en el marco de las diferentes interacciones en las regiones </t>
  </si>
  <si>
    <t xml:space="preserve">Cumplimiento de compromisos en territorios priorizados </t>
  </si>
  <si>
    <t xml:space="preserve">Fortalecimiento del emprendimiento cultural en los territorios </t>
  </si>
  <si>
    <t>Entidades territoriales con asesoría y acompañamiento técnico para el fortalecimiento de las redes y/o bibliotecas públicas  de su región.</t>
  </si>
  <si>
    <t xml:space="preserve">Niños y jóvenes beneficiados por programas y procesos artísticos y culturales </t>
  </si>
  <si>
    <t xml:space="preserve">Municipios acompañados en el desarrollo de estrategias de circulación y formación de públicos, para el cine colombiano. </t>
  </si>
  <si>
    <t xml:space="preserve">Grupo del Teatro Colón </t>
  </si>
  <si>
    <t xml:space="preserve">Funciones de obras artisticas y culturales realizadas en sala del Teatro Colón </t>
  </si>
  <si>
    <t xml:space="preserve">Proyectos aprobados en el Sistema General de Regalías para el sector Cultura </t>
  </si>
  <si>
    <t xml:space="preserve">Obras artísticas creadas y exhibidas en los salones nacionales y regionales de artistas  </t>
  </si>
  <si>
    <t>Vincular la conservación, protección,  recuperación y nuevas dinámicas  del patrimonio material (mueble e inmueble)  a los procesos productivos propios de los territorios - Memoria Construida</t>
  </si>
  <si>
    <t>Garantia de la preservación del patrimonio material representado en las colecciones de los Museos del Ministerio de  Cultura</t>
  </si>
  <si>
    <t>Fortalecimiento del Programa Nacional de Concertación Cultural - PNCC y el Programa Nacional de Estimulos -  PNE.</t>
  </si>
  <si>
    <t xml:space="preserve">Proyectos apoyados por el PNCC priorizados con seguimiento </t>
  </si>
  <si>
    <t xml:space="preserve">Estímulos otorgados por el PNE, priorizados con seguimiento </t>
  </si>
  <si>
    <t>Particpación en la formulación y ejecución de los de los planes  conmemorativos al Bicentenario 1819-1823. con enfoque territorial</t>
  </si>
  <si>
    <t xml:space="preserve">Bibliotecas públicas de la RNBP que implementan el Programa de Bibliotecas Itinerantes. </t>
  </si>
  <si>
    <t>Fortalecer la capacidad de gestión y desempeño institucional y la mejora continua de los procesos, basada en  la gestión de los riesgos,  el manejo de la  información y la evaluación para la toma de decisiones.</t>
  </si>
  <si>
    <t xml:space="preserve">Secretaría General </t>
  </si>
  <si>
    <t>Fortalecimiento de  las TICs y los canales de comunicación.</t>
  </si>
  <si>
    <t xml:space="preserve">El Ministerio cuenta con los equipos apropiados para realizar sus actividades </t>
  </si>
  <si>
    <t>Número</t>
  </si>
  <si>
    <t>Porcentaje</t>
  </si>
  <si>
    <t>Total general</t>
  </si>
  <si>
    <t>PND</t>
  </si>
  <si>
    <t>% Avance TOTAL</t>
  </si>
  <si>
    <t>DEP_NOMBRE</t>
  </si>
  <si>
    <t>OBJ_ID</t>
  </si>
  <si>
    <t>OBJ_DESCRIPCION</t>
  </si>
  <si>
    <t>EST_ID</t>
  </si>
  <si>
    <t>EST_DESCRIPCION</t>
  </si>
  <si>
    <t>SIN_ID</t>
  </si>
  <si>
    <t>SIN_NOMBRE</t>
  </si>
  <si>
    <t>SIP_CANTIDAD</t>
  </si>
  <si>
    <t>SIU_NUMBRE</t>
  </si>
  <si>
    <t>SIA_CANTIDAD</t>
  </si>
  <si>
    <t>SIA_OBSERVACIONES</t>
  </si>
  <si>
    <t>SIA_FECHA</t>
  </si>
  <si>
    <t>Fecha Actualizado</t>
  </si>
  <si>
    <t>Territorios con política de turismo cultural implementada</t>
  </si>
  <si>
    <t>Pilotos de PCI en contextos Urbanos PCIU implementados</t>
  </si>
  <si>
    <t>Política de formación artística y cultural diseñada</t>
  </si>
  <si>
    <t xml:space="preserve">Se elaboró el borrador del documento  de propuesta para el diseño de política. Está en proceso de revisión para presentación a la Dirección. Se está ajustando lo referente a Presupuesto estimado. </t>
  </si>
  <si>
    <t xml:space="preserve">Despacho de la Dirección de Poblaciones_x000D_
</t>
  </si>
  <si>
    <t>Para el 2019 se establece una meta del 50% considerando que se desarrollará el proceso de dialogo cultural con los representantes de la MPC,  para la vigencia 2020 se tiene previsto iniciar el proceso de dialogo cultural con los representantes de las lenguas criollas. El cumplimiento del proceso de concertación y protocolización con Pueblos Indígenas corresponde al 75% y Lenguas criollas al 25%, como resultado una meta del 100%_x000D_
Hito 1: Desarrollo de mesa de concertación con los representantes de los Pueblos indígenas. 20%: Se convocó al desarrollo de una sesión de la Mesa Permanente de Concertación, el 3, 4 y 5 de junio, con la participación de representantes de la ONIC, OPIAC, CIT, Gobierno Mayor, AICO, Delegado de Congresistas Indígenas, MinCultura, Mintic, Mineducación, Instituto Caro y Cuervo, Defensoría del Pueblo, Procuraduría General de la Nación, así como la secretaria técnica de Pueblos Indígenas de Colombia y Mininterior._x000D_
Se acordó que el Ministerio de Cultura apoyará a ONIC, AICO y Gobierno Mayor para la retroalimentación del Plan Decenal de Lenguas dentro de los territorios. Contratación de un experto lingüista indígena para la CIT_x000D_
hito 2: Desarrollo de convenios para proceso de retroalimentación del Plan Decenal de Lenguas con las comunidades indígenas. 15%: A fecha de corte ya se encuentran suscritos los convenios con Gobierno Mayor por $38.000.000, ONIC por $141.360.656 y AICO por $62.740.000, para realizar un evento con representantes de los pueblos indígenas y organizaciones filiales, en los cuales se desarrollarán espacios de diálogo cultural con el fin de retroalimentar el documento del Plan Decenal de Lenguas Nativas. Sistematización de la experiencia y aportes del encuentro nacional de los Pueblos y Organizaciones Indígenas sobre el Plan Decenal de Lenguas Nativas._x000D_
Hito 3: Documento final con retroalimentación y observaciones al Plan Decenal de Lenguas. 15%: El cumplimiento de este hito se tiene previsto para el mes de diciembre.</t>
  </si>
  <si>
    <t xml:space="preserve">Documentos de Políticas Públicas para el fortalecimiento de la Economia Naranja formulados_x000D_
</t>
  </si>
  <si>
    <t xml:space="preserve">Proyecto de modificación de la Ley de Cultura presentado al Congreso </t>
  </si>
  <si>
    <t>Entidades territoriales que incluyen el componente cultural en sus planes de desarrollo</t>
  </si>
  <si>
    <t>El resultado de este indicador se analizará en el 2020, cuando los nuevos Alcaldes y Gobernadores incluyan en su Plan de Desarrollo el componente cultural. En esta vigencia, la Dirección de Fomento Regional se encuentra adelantando una metodología denominada Los Acuerdos sociales por la cultura, como un ejercicio de participación que convoca a la ciudadanía y a los aspirantes a las alcaldías acordar acciones estratégicas que favorezcan el acceso de la comunidad a bienes y servicios culturales. Se convierten en un primer paso del proceso de planeación participativa, para la construcción del componente cultural de los futuros planes de desarrollo territoriales.</t>
  </si>
  <si>
    <t>Se han suscrito los convenios de asociación: ASOCIACION CONSEJO DE AUTORIDADES DEL PUEBLO WOUNAAN DE COLOMBIA WOUNDEKO por $45.000.000, ONIC por $208.000.000, Consejo Comunitario de Curbaradó por $50.000.000, Resguardo Indígena San Lorenzo por $50.000.000, Consejo Comunitario de Jiguamiando por $30.000.000, Corporación Clepsidra tendiente al cumplimiento de lo ordenado en la Sentencia de Restitución de Tierras 007 de 2014 por $40.000.0000 y Consejo Comunitario de Yurumangui por $65.000.000. De los convenios pendientes, uno se encuentra en proceso de firmas en secretaria general (Consejo Comunitario renacer Negro por $60.040.000) y plan de reparacion colectiva de Bojayá se encuentra en proceso de elaboración del CDP por $50.000.000 el cual requiere documentación soporte. De 9 convenios proyectados se han logrado suscribir 7 lo cual da como resultado de avance en el hito 1 del 39% sobre el 50%. _x000D_
Avance hito 2 Realizar la supervisión de los avances de las acciones establecidas en el convenio, a través de la revisión de informes presentadas por las organizaciones (25%): Realizar la supervisión de los avances de las acciones establecidas en el convenio, a través de la revisión de informes presentadas por las organizaciones (25%). A fecha de corte se ha avanzado en acciones con los siguientes convenios: ASOCIACION CONSEJO DE AUTORIDADES DEL PUEBLO WOUNAAN DE COLOMBIA WOUNDEKO,  ONIC, Consejo Comunitario de Curbaradó, resguardo indígena San Lorenzo, Consejo Comunitario de Jiguamiando y Corporación Clepsidra, es decir que 6 convenios ya tienen acciones adelantadas a la fecha de corte, adicionalmente el consejo comunitario Yurumangui iniciará acciones en el mes de octubre. Estos avances de acciones de los convenios representan un 17% de avance sobre el 25% del hito._x000D_
Avance hito 3:  Gestionar la liquidación de convenios (25%): Este hito está proyectado para cumplirse en el mes de diciembre.</t>
  </si>
  <si>
    <t xml:space="preserve">Grupo de Emprendimiento Cultural_x000D_
</t>
  </si>
  <si>
    <t>Nuevos contenidos visuales, sonoros y convergentes de comunicación cultural creados</t>
  </si>
  <si>
    <t xml:space="preserve">Biblioteca Nacional de Colombia_x000D_
</t>
  </si>
  <si>
    <t>Promedio de libros leídos por la población colombiana entre 5 y 11 años (ECC)</t>
  </si>
  <si>
    <t xml:space="preserve">La Meta esta proyectada para el 2020, por lo cual no se reporta avance. _x000D_
_x000D_
La fuente de verificación de este indicador es la Encuesta de Consumo Cultural y los reportes se realizarán de acuerdo con el cronograma estadístico del DANE en 2020 y 2022. </t>
  </si>
  <si>
    <t>Promedio de libros leídos por la población colombiana, de 12 años o más  (ECC)</t>
  </si>
  <si>
    <t xml:space="preserve">Se ha dado cumplimiento del 100% a la meta proyectada. _x000D_
_x000D_
Se llevaron a cabo 543 asistencias técnicas y 6 adicionales por requerimiento de las regiones, para un acumulado de 549 equivalente al 101,1%. _x000D_
</t>
  </si>
  <si>
    <t xml:space="preserve">Circuitos nacionales e internacionales de las narradoras afros y sus obras_x000D_
</t>
  </si>
  <si>
    <t xml:space="preserve">El sábado 14 de septiembre en la ciudad de Bogotá, se dio apertura al 45SNA en la Galería Santa Fe. El evento que se realizará hasta el 4 de noviembre presenta a 166 artistas, en 11 sedes.  _x000D_
_x000D_
https://www.periodicoarteria.com/SNA/Inauguran-Salon-Nacional-de-Artistas </t>
  </si>
  <si>
    <t xml:space="preserve">Grupo de Infraestructura Cultural_x000D_
</t>
  </si>
  <si>
    <t xml:space="preserve">Infraestructuras culturales Construidas, adecuadas y dotadas,_x000D_
</t>
  </si>
  <si>
    <t xml:space="preserve">Museo Nacional de Colombia_x000D_
</t>
  </si>
  <si>
    <t xml:space="preserve">Diseño del museo de la diversidad étnica y cultural_x000D_
</t>
  </si>
  <si>
    <t>Museo narrativo para las mujeres afro que narran su territorio</t>
  </si>
  <si>
    <t xml:space="preserve">Manifestaciones inscritos en la Lista Representativa de Patrimonio Cultural Inmaterial de la Humanidad y la Lista de Patrimonio Mundial de la UNESCO
</t>
  </si>
  <si>
    <t xml:space="preserve">Regiones PDET con el programa de Expedición Sensorial Implementado._x000D_
</t>
  </si>
  <si>
    <t xml:space="preserve">Bienes de interés cultural del ámbito nacional que cuentan con Planes Especiales de Manejo y Protección PEMP_x000D_
</t>
  </si>
  <si>
    <t xml:space="preserve">Grupo Programa Nacional de Concertación_x000D_
</t>
  </si>
  <si>
    <t xml:space="preserve">Grupo Programa Nacional de Estímulos_x000D_
</t>
  </si>
  <si>
    <t xml:space="preserve">Emprendedores o empresas de las agendas creativas regionales fortalecidas con asistencia técnica_x000D_
</t>
  </si>
  <si>
    <t xml:space="preserve">Empresas que acceden al sistema de beneficios tributarios_x000D_
</t>
  </si>
  <si>
    <t xml:space="preserve">Nivel de implementación de las dimensiones del Modelo Integrado de Planeación y Gestión._x000D_
</t>
  </si>
  <si>
    <t xml:space="preserve">Grupo de  Gestión de Sistemas  e Informática _x000D_
</t>
  </si>
  <si>
    <t xml:space="preserve">Grupo de Gestión Documental_x000D_
</t>
  </si>
  <si>
    <t xml:space="preserve">Grupo de Gestión Humana_x000D_
</t>
  </si>
  <si>
    <t xml:space="preserve">Nivel de ejecución del Plan Institucional de Capacitaciones_x000D_
</t>
  </si>
  <si>
    <t xml:space="preserve">Grupo de Gestión Financiera y Contable_x000D_
</t>
  </si>
  <si>
    <t>El porcentaje de reducción en gastos de logística va en 2.53%, tiquetes el 5.53% y el de viáticos el 20%.</t>
  </si>
  <si>
    <t xml:space="preserve">_x000D_
A la fecha se ha fortalecido  1 colectivo de Comunicación en Montes de María -Encuentro de Comunicación realizado el   donde se intercambiaron experiencias y se fortalecieron los procesos de comunicación_x000D_
 "Colectivo de Comunicación Monte de María Linea 21"_x000D_
_x000D_
Los ganadores  de la  primera fase de la Convocatoria "Becas de Comunicación y Territorio"   fuerón los siguientes colectivos de comunciación:_x000D_
_x000D_
2. Resguardo Indígena Páez de Corinto_x000D_
3. Resguardo Indígena Arhuaco de la Sierra Nevada_x000D_
4.Cabildo Indígena de Pastás_x000D_
5. Asociación Agropecuaria Vereda de Chapacual_x000D_
6. Asociación Campesina de Inzá Tierradentro_x000D_
7. Asociación Agrocomunitaria el Porvenir_x000D_
8. Asociación de Comunicadores de Nuquí " Colectivo EN PUJA"_x000D_
9. Asociación de Mujeres Afrodescendientes del Norte del Cauca ASOM_x000D_
10. Colectivo de Comunicaciones Narradoras y Narradores de la Memoria Kucha Suto de San Basilio de Palenque_x000D_
_x000D_
La Dirección de Comunicaciones cumplió con el fortalecimiento de los 10 colectivos a través  de asistencia técnica, apoyo a la formación y apoyo a la producción de contenidos mediáticos propios. </t>
  </si>
  <si>
    <t>Nov. Se han aprobado $11,359,9, mill. de Gestión de Recursos de Cooperación, los cuales representan el 111,3% de la meta anual de 2019 ( $10,000 mill.) siendo los más representativos los aportes de AECID para formación en  Cocina de la Escuela Taller de Pasto por $525,1 mill.</t>
  </si>
  <si>
    <t>Con corte a Noviembre 30 de 2019, producto de las reuniones concertadas entre las Direcciones y áreas y el Programa Nacional de Concertación Cultural, se identificaron los proyectos a los cuales se les hizo seguimiento según los lineamientos estratégicos de cada una, así:_x000D_
_x000D_
Dirección de Artes: 316_x000D_
Dirección de Cinematografía: 10_x000D_
Dirección de Patrimonio: 13_x000D_
Dirección de Poblaciones: 13_x000D_
Dirección de Comunicaciones: 12_x000D_
Dirección de Fomento Regional: 59_x000D_
Museo Nacional: 5_x000D_
_x000D_
Para un total de: 428</t>
  </si>
  <si>
    <t xml:space="preserve"> En MaguaRED se aumentaron las visitas demostrando que la temática sobre patrimonio es de gran interés de nuestros usuarios. Maguaré tuvo un aumento en sus visitas dado el estreno del álbum Lero Lero Candelero de Jorge Velosa y la campaña de difusión en redes sociales y como respuesta también a la activación del Instagram de la EDCPI. En el avance cuantitativo se suman los usuarios del mes de noviembre: 60.123. Los usuarios acumulados en la linea base a 2019 en las plataformas Maguaré y MaguaRED son: 1.700.038 Nuevos usuarios de enero a noviembre de 2019: 590.151                                                                  _x000D_
A la fecha se encuentran alojados y al aire 875 contenidos en MaguaRED y 686 en Maguaré.  </t>
  </si>
  <si>
    <t>Para el 2019 se cumplió la meta establecida con la postulación de Los conocimientos tradicionales asociados al Barniz de Pasto, Mopa-Mopa (CUAL) cuya decisión de inscripción la tomará la UNESCO en el 2021.</t>
  </si>
  <si>
    <t>A la fecha se han inscrito en la lista representativa  las siguientes manifestaciones y bienes:_x000D_
1. Los conocimientos tradicionales asociados al Barniz de Pasto, Mopa-Mopa.  2. Los Saberes y tradiciones asociadas al Viche - Biche del Pacifico.  _x000D_
3. PES de la manifestación de la Semana Santa de Ciénaga de Oro, Córdoba 4. La pesca artesanal en el río Magdalena.- _x000D_
_x000D_
A la fecha se cumple la meta con los  4 Bienes y manifestaciones inscritos en las Listas Representativas de Patrimonio Cultural Inmaterial y de Bienes de Interés Cultural (Unesco y Nacional).</t>
  </si>
  <si>
    <t>Se entregaron 800.000 ejemplares de los dos títulos de "Historias de la historia de Colombia" que hacen parte de la serie Leer es mi cuento (400.000 de cada título).Estos ejemplares se distribuyeron a nivel nacional con destino a los centros musicales de la Fundación Nacional Batuta donde se implementa el programa Música para la Reconciliación, Ferias Regionales  del libro apoyadas por el Ministerio de Cultura, instituciones educativas, escuelas municipales de música y danza, salas de lectura y bibliotecas inscritas en la campaña Leer es mi cuento en la Biblioteca.</t>
  </si>
  <si>
    <t>Se creó la escuela taller en villa del rosario y se formuló el proceso de formacion en jardineria con el apoyo de la escuela talle de cali. _x000D_
_x000D_
Con esta creación se cumple la meta establecida para el 2019.</t>
  </si>
  <si>
    <t>Para el 2019, se creó la escuela taller naranja y va a estar ubicada en cartagena bolívar quien se encuentra adelantando los procedimientos para la comercializacion con las demas escuelas taller._x000D_
Con esta creación se cumple la meta establecida para el 2019</t>
  </si>
  <si>
    <t>Meta_19</t>
  </si>
  <si>
    <t>Avan_19</t>
  </si>
  <si>
    <t>% Avance</t>
  </si>
  <si>
    <t xml:space="preserve">A Dic  La dirección de patrimonio finalizó el proceso de validación de los lineamientos de la política de turismo cultural realizado durante el 2do semestre de 2019. _x000D_
El evento de turismo culturalse reqalizo  conjuntamente con el Viceministerio de turismo  el 13,14 y 15 de noviembre en la ciudad de Popayán._x000D_
</t>
  </si>
  <si>
    <t xml:space="preserve">Se han desarrollado 7 pilotajes de la caja de herramientas con comunidades en 7 ciudades diferentes del país esto ha permitido que las comunidades cuentan con nuevos insumos de conocimientos y de planificación del patrimonio cultural inmaterial en contextos urbanos de forma participativa._x000D_
Además, a través de las "Becas para la implementación de la metodología de patrimonio cultural inmaterial en contextos urbanos", comunidades de Bogotá, Neiva y Montería tendrán la oportunidad de implementar la caja de herramientas en el marco del fortalecimiento de sus propias estrategias de salvaguardia. </t>
  </si>
  <si>
    <t>Se ha iniciado el acercamiento con el área de agenda legislativa y  en el  marco del Plan Nacional de Desarrollo se modificó el artículo 10 de la Ley 397 de 1997._x000D_
Por otro lado, de conformidad con el Decreto 2120 de 2018 una de las actividades establecidas en cabeza de esta oficina se encuentra la aplicación del régimen sancionatorio establecido en el artículo 15 de la Ley 397 de 1997 modificado por el artículo 10 de la Ley 1185 de 2008, y se identificó una falencia normativa en las disposicones que generan tropiezos en la gestión de la protección del patrimonio cultural, para este efecto, se ha realizado la contratación del abogado Alejandro Badillo del contrato No. 3216/19 con el objeto “Prestar servicios profesionales para acompañar la gestión de las actividades propias de la Oficina Jurídica, en especial, las relacionadas con la agenda regulatoria de la Entidad.”, donde dentro de sus obligaciones especiales se encuentran: Preparar proyectos de ley, decretos, resoluciones, y demás actos administrativos  sometidos a su consideración."_x000D_
_x000D_
Esta contratación se realiza con el fin de dar cumplimiento al plan estratégico institucional a cargo de esta Oficina planteada para el cuatrienio</t>
  </si>
  <si>
    <t xml:space="preserve">Se conceptualizaron 22 proyectos, superando con creces la meta de 15 para el año 2019._x000D_
_x000D_
_x000D_
</t>
  </si>
  <si>
    <t>Desde el proyecto de Fortalecimiento de Capital Humano se aplicó la ruta metodológica que permitió el  diseño de cualificaciones para las tres categorías de la economía naranja así: _x000D_
Categoría 1 artes y patrimonio:   1. Asistencia de escenográfica y de utilería, 2.Diseño y coordinación de escenografía y utilería, 3. Artes circenses, 4.Carpintería de ribera, 5.Maquillaje artístico, 6. Iluminación para las artes escénicas y audiovisuales, 7.Vestuario artístico, 8.Cocina tradicional. 9.Narración.  En Cualificaciones con componentes 1&amp;2 construidos y verificados están: 10.Ejecución e interpretación de la danza, 11. Dirección coreográfica y formación en danza 12.Construcción tradicional con tierra 13. Sonido para espectáculos artísticos _x000D_
Categoría  2 Industrias Creativas: _x000D_
14.Estudios literarios, 15. Animación y promoción a la lectura, 16. Camarografo (Análisis Funcional)_x000D_
Categoría  3 Creaciones funcionales: Se adelanto la etapa A: Caracterización y  B Análisis de Brechas  de Capital Humano, se continuara con la etapa D  en 2020</t>
  </si>
  <si>
    <t xml:space="preserve">En el marco de los Proyectos liderados por la Dirección de Comunicaciones, se dió cumplimiento con el apoyo  la producción de nuevos contenidos realizados por colectivos de comunicación, Creadores de Contenidos y Niños, ampliandose la oferta de contenidos mediaticos culturales en 256 en formatos audiovisuales,convergentes y sonoros._x000D_
_x000D_
_x000D_
</t>
  </si>
  <si>
    <t>En el 2019 se implementaron los  21 talleres escuela asi:_x000D_
1.Taller Escuela en Lutheria en Carmelo- Choco_x000D_
2.Taller Escuela en madera jose felix en Quibdo- Choco _x000D_
3.Taller Escuela en Cantos de llano - Arauca _x000D_
4.Taller Escuela Cantos de llano - Meta _x000D_
5.Taller Escuela en carpinteria en Tunja_x000D_
6.Taller Escuela en linotipía  en Tunja_x000D_
7.Taller Escuela en tipos de madera en Tunja  _x000D_
8.Taller Escuela en cestería en Puerto Nariño- Amazonas _x000D_
9.Taller Escuela en ebanisteria en Puerto Nariño-Amazonas. _x000D_
10.Taller Escuela en atarrayas tejidas a mano en la montañita en caqueta. _x000D_
11.Taller Escuela en producción grafica  en Cali- valle del Cauca. _x000D_
12.Taller Escuela en Violines Caucanos en Patia- Cauca. _x000D_
13.Taller Escuela en marimba de chonta en Guapi  Cauca.  _x000D_
14.Taller Escuela en viche  en Tumaco. _x000D_
15.Taller Escuela en tejido telar vertical  en san Jacinto Bolivar _x000D_
Se implementaron  seis (6) talleres escuela en oficios tradicionales en Guapi, Timbiqui, Lopez de Micay,Villa Garzon,  Puerto Asis,Tumaco</t>
  </si>
  <si>
    <t>El 7 de noviembre se presentó ante Consejo Nacional de Patrimonio Cultural, el Plan Especial de Manejo y Protección - PEMP de Concepción en Antioquia, el cual tuvo concepto favorable. Actualmente, se encuentra en elaboración el borrador de la resolución de aprobación._x000D_
_x000D_
El 6 de diciembre se presentó ante el Consejo Nacional de Patrimonio Cultural el PEMP de Mongui en Boyacá, el cual tuvo concepto favorable. Actualmente, se encuentra en elaboración el borrador de la resolución de aprobación. _x000D_
_x000D_
Cumpliendo así con la meta establecida para la vigencia.</t>
  </si>
  <si>
    <t>En la vigencia 2019 se intervinieron 6 obras las cuales se relacionan a continuación:_x000D_
1. Intervención de la Hacienda Cañas Gordas (100%) _x000D_
2. Intervención al Monumento Los Lanceros de Rondón Pantano de Vargas, Paipa Boyacá (100%)._x000D_
3. Restauración de los monumentos del Puente de Boyacá: El Obelisco y el Monumento al Libertador (100%) _x000D_
4. Restauración de la capilla de Nuestra Señora de las Mercedes en el Centro Histórico de Salamina Caldas (100%)._x000D_
5. Casa Eduardo Santos, Tunja Boyacá (100%)._x000D_
6. Restauración integral de las ruinas del inmueble ubicado en la carrera 7 n°. 6B-30 /fragmentos (100%)._x000D_
Cumpliendo así con la meta establecida para la vigencia.</t>
  </si>
  <si>
    <t xml:space="preserve">Fortalecimiento de espacios itinerantes y no convencionales, para extender la oferta de bienes y servicios culturales._x000D_
</t>
  </si>
  <si>
    <t>En el marco del mes de diciembre se realizaron las siguientes actividades: _x000D_
_x000D_
-   En el Baluarte de San José se desarrollaron talleres para los aprendices de cocinas de la Escuela Taller, con chefs invitados sobre cocina internacional, y con matronas sobre cocina tradicional. _x000D_
_x000D_
Con el desarrollo de la unidad de negocio de cocinas tradicionales internacionales en el baluarte de san jose, se cumple con la meta establecida para el 2019.</t>
  </si>
  <si>
    <t>Se toma la información del informe de ejecución presupuestal generado en el Sistema de Información Financiera SIIF con corte a 31 de diciembre</t>
  </si>
  <si>
    <t>Se realizó el 100% del seguimiento al plan, con el reportes de cierre de ejecución de las metas 2019 del Pla Estrategico institucional.</t>
  </si>
  <si>
    <t xml:space="preserve">Promoción de un entorno institucional para el desarrollo y la consolidación de la ciudadanía creativa y la economía naranja_x000D_
_x000D_
</t>
  </si>
  <si>
    <t>Se digitalizaron y subieron a la Biblioteca Digital 121 nuevos libros para un consolidado de 1.500 en diciembre de 2019, cantidad que sumada a la línea base, da un acumulado de 2.800 libros digitales. Incluye la producción digital de 30 títulos de la colección Daniel Samper Ortega._x000D_
Cumpliendo con el indicador en un 100%.</t>
  </si>
  <si>
    <t xml:space="preserve">Diseño y puesta en marcha modelos de financiación para la cultura._x000D_
</t>
  </si>
  <si>
    <t>Se implementó la Fase I en 150 bibliotecas públicas de 25 departamentos (266 Bibliotecas públicas postuladas) así:  i) acompañamiento técnico y formativo con 3 visitas presenciales y 2 encuentros para bibliotecarios y agentes comunitarios (108 bibliotecarios en el proceso de socialización del programa, 150 bibliotecas y comunidades rurales en el proceso formativo presencial por parte de los tutores y promotores de lectura, más de 11.000 asistencias a las actividades con la comunidad, 296 mediadores comunitarios para las Bibliotecas Rurales Itinerantes asistentes en los 7 encuentros regionales. ii) Dotación bibliográfica y tecnológica: Se realizó el proceso de adquisición, alistamiento  y entrega de la colección bibliográficas.conformada por 131 títulos, otros recursos didácticos, 3 guías metodológicas,una maleta y elementos técnológicos. iii) Incentivos estrategias de itinerancia a 145 Bibliotecas Rurales Itinerantes._x000D_
Cumpliendo con el indicador en un 100%.</t>
  </si>
  <si>
    <t xml:space="preserve">Agendas creativas regionales implementadas _x000D_
</t>
  </si>
  <si>
    <t xml:space="preserve">Cualificaciones del sector según el mapa ocupacional y los segmentos del campo cultural elaboradas._x000D_
</t>
  </si>
  <si>
    <t xml:space="preserve">Bienes de interés cultural del ámbito nacional intervenidos_x000D_
</t>
  </si>
  <si>
    <t xml:space="preserve">Exposiciones de colecciones itinerantes realizadas_x000D_
</t>
  </si>
  <si>
    <t xml:space="preserve">Seguimiento y monitoreo del Plan Anticorrupción y Atención al Ciudadano. _x000D_
</t>
  </si>
  <si>
    <t xml:space="preserve">Seguimiento del Plan Estratégico Institucional_x000D_
</t>
  </si>
  <si>
    <t xml:space="preserve">Se cuenta con los siguientes documentos realizados en la vigencia 2019:_x000D_
_x000D_
a) Documento de bases conceptuales de economía naranja._x000D_
b) Documento de estrategias de economía naranja._x000D_
_x000D_
Que constituyen en unidad el primer documento de política de Economía Naranja realizado por el Viceministerio de la Creatividad y la Economía Naranja y aprobado por el Consejo de Economía Naranja el 16-12-2019._x000D_
</t>
  </si>
  <si>
    <t>Durante el desarrollo de la vigencia 2019 se llevó a cabo la generación y fortalecimiento de un marco normativo público que propendió por el desarrollo de la economía naranja en el país destacando principalmente la ley 1943 de 2019 “ley de Financiamiento”, que luego se remplazaría por la ley 2010 de 2019 de la Nueva Reforma Tributaria; así mismo, se creó la ley 1955 de 2019 por el cual se expide el Plan Nacional de Desarrollo 2018-2022. “Pacto por Colombia, Pacto por la Equidad” y finalmente, se expidió la Resolución 1933 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</si>
  <si>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Con la ampliación de 10 a 14 subsectores de la Economía Naranja se complementó la medición de la CSCEN, agregando sectores como Diseño, Joyas y Bisutería, Publicidad y Edición de Software. La Cuenta se publicó en el mes de septiembre y su crecimiento en lo proyectado frente a la meta establecida, corresponde principalmente a la inclusión de 34 CIUUs totales y 67 CIUUs parciales en la metodología de cálculo de la participación de la economía naranja en el valor agregado nacional._x000D_
_x000D_
Por la solicitud realizada por parte del DNP y la Presidencia de la República frente al replantamiento de la formulación de la línea base del indicador transformacional del sector cultura, se añadieron nuevos sectores a la metodología de cálculo de la línea base, razón por la cual se ampliaron los subsectores de medición a 13 para la línea base y se amplió en 1 subsector adicional para la medición respecto al año 2019.</t>
  </si>
  <si>
    <t>Se finaliza el proceso de acompañamiento técnico de 2019 a los 17 nodos instalados para la formulación de planes de acción interinstitucionales y concertación/actualización de agendas creativas naranja para el 2020, teniendo como resultado la instalación en los municipios de:_x000D_
• 27 de febrero - Ibagué_x000D_
• 2 de abril – Barranquilla_x000D_
• 12 de abril – Bucaramanga_x000D_
• 25 de abril – Neiva_x000D_
• 2 de mayo – Medellín_x000D_
• 7 de mayo - Valledupar_x000D_
• 9 de mayo – Cali_x000D_
• 30 de mayo – Cartagena_x000D_
• 4 de junio - Armenia_x000D_
• 6 de junio - Manizales_x000D_
• 11 de junio - Pereira_x000D_
• 13 de junio - Pasto_x000D_
• 18 de junio – Popayán_x000D_
• 5 de julio – Cúcuta_x000D_
• 16 de julio – Santa Marta_x000D_
• 1 de agosto – Villavicencio_x000D_
• 10 de agosto – Bogotá_x000D_
_x000D_
Mediante concertación con la gobernación de Cundinamarca, la Cámara de Comercio de Bogotá, la Alcaldía Mayor de Bogotá y la Secretaría de Cultura; Se realizó una jornada de trabajo en la ciudad de Bogotá el día 19 de junio de 2019, con el fin de realizar la instalación del Nodo de Economía Naranja a través de una reunión de trabajo con instituciones públicas, sector academia y emprendedores-empresarios del sector cultural. Así mismo, En el marco de la mesa del nodo, y con el liderazgo del Ministerio de Cultura, se gestionó la firma del PACTO PARA EL FORTALECIMIENTO DE LA ECONOMÍA NARANJA BOGOTÁ – CUNDINAMARCA, para el fortalecimiento, sostenibilidad y crecimiento de la Economía Naranja en Bogotá – Cundinamarca entre los años 2019 – 2022. _x000D_
_x000D_
Lo anterior dió pie a la instalación de un nodo adicional a la meta, el cual se realizó en la ciudad de Bogotá</t>
  </si>
  <si>
    <t>El operador del proyecto, la Corporación Incluyamos, ha realizado tres encuentros con las Mujeres beneficiarias, dos de ellos subregionales y uno nacional. Los subregionales fueron en Cali y Cartagena y el nacional fue en Guatapé (Antioquia). En total dichos encuentros dejaron experiencias de aprendizajes a las mujeres en mercadeo, atención al cliente, intercambio de saberes culturales, aliados comerciales y estrategias de venta. Fueron vendidos en los circuitos comerciales un total $12.863.000 de las mercancías de las mujeres que ofertan bienes artesanales y de cocinas tradicionales. Se realizaron las piezas gráficas comprendidas en las obligaciones y contrapartidas._x000D_
_x000D_
El aumento en la cantidad de colectivos apoyados durante el primer año, correspondió a las dinámicas de la puesta en funcionamiento del convenio con la corporación Incluyamos que permitió ampliar la cobertura de los programas ofrecidos en el caribe y el pacífico y dio cabida a la inclusión de dos colectivos adicionales para la vigencia 2019</t>
  </si>
  <si>
    <t xml:space="preserve">Se concertó la siguiente agenda creativa regional:_x000D_
- Cauca, Popayán (Acuerdo de Voluntades firmado en diciembre)._x000D_
En total se logran concertar 7 agendas creativas naranja en el país durante el 2019:_x000D_
- Cesar (acuerdo de voluntades firmado en Julio)_x000D_
- Bogotá (acuerdo de voluntades firmado el 16 de agosto)_x000D_
- Nariño (acuerdo de voluntades firmado el 21 de agosto)_x000D_
- Barranquilla (acuerdo de voluntades firmado el 20 de septiembre)_x000D_
- Cali_x000D_
- Ibagué (acuerdo de voluntades firmado en noviembre)_x000D_
_x000D_
Lo anterior corresponde principalmente a la decisión tomada por las anteriores administraciones regionales de cumplir con la firma de acuerdo de voluntades, antes de terminar su periodo de mandato y dejar estipuladas y concertadas las agendas culturales y creativas de cada una de las regiones beneficiadas </t>
  </si>
  <si>
    <t>Se realizaron seguimientos permanentes, acompañamiento y solución de inquietudes a la emisión de los Decretos de delimitación de ADN en las ciudades de Medellín y Barranquilla (ciudad a la que se remitieron comentarios al proyecto de Decreto) y Cali (ciudad a la que se remitieron comentarios al proyecto de Resolución)._x000D_
_x000D_
Los Decretos de delimitación de las ciudades de Medellín y Barranquilla se firmaron y emitieron por los respectivos alcaldes en la finalización de la vigencia 2019 alcanzando un total de 4 ADN implementadas con sanción de las autoridades de cada ciudad: Medellín, Cali (2), Barranquilla._x000D_
_x000D_
El aumento en la meta corresponde principalmente a la responsabilidad que tuvieron las administraciones regionales pasadas a la hora de determinar la implementación de las ADN y firmar los decretos de delimitación de las mismas, antes de terminar el proceso de gobierno.</t>
  </si>
  <si>
    <t xml:space="preserve">La meta este indicador se había estimado de acuerdo al plan de acción de la Dirección de Cinematografía, donde se tenía previsto desarrollar el acompañamiento a (4) municipios conforme a los recursos técnicos disponibles para tal fin. No obstante, posteriormente, desde la Dirección de Cinematografía del Ministerio de Cultura en el marco Consejo Nacional de las Artes y la Cultura en Cinematografía (CNACC), el cual es presidido por el Ministerio de Cultura, en el mes de marzo de 2019 se llevó la propuesta de acompañar municipios en estrategias de circulación y formación de públicos en cine colombiano, con el fin de gestionar más recursos y ampliar el alcance de la propuesta. _x000D_
En este sentido, el CNACC aprobó una estrategia para 16 municipios, financiada con recursos del Fondo para el Desarrollo Cinematográfico (FDC) a través del desarrollo de una gran temporada de cine colombiano, la Temporada Cine Crea Colombia, en la que además se vincularon plataformas como Retina Latina y otros medios de difusión y exhibición de cine colombiano.  _x000D_
</t>
  </si>
  <si>
    <t xml:space="preserve">2.211.031 visitas hasta diciembre 31 de 2019. La estimación de las visitas de usuarios a los contenidos de la plataforma Retina Latina registradas, se hizo de acuerdo al crecimiento histórico de la plataforma en visitas de usuarios que acceden gratuitamente a ver las películas. Por esa razón, se proyectó que se llegaría a 2.000.0000 a diciembre de 2019. Sin embargo, dado que las visitas de usuarios sufren variaciones de acuerdo a la publicación efectiva de los contenidos y a su acogida, tuvimos un crecimiento en visitas en algunos meses (especialmente el mes de septiembre registró un mayor número de visitas de la media) por lo cual se superó lo proyectado. Es importante entender que la meta no es controlable ni puede ser proyectada con exactitud, dado que es resultado de la interacción efectiva de los usuarios con el proyecto, por lo cual puede sufrir variaciones.  Respecto al tipo de indicador, las visitas de usuarios a la plataforma digital Retina Latina, se refiere a las  visitas al sitio web del proyecto así como a los visionados de las películas que allí se encuentran disponibles de manera gratuita. </t>
  </si>
  <si>
    <t xml:space="preserve">Promoción de la gestión de recursos para el desarrollo de los procesos artísticos culturales_x000D_
</t>
  </si>
  <si>
    <t>Con corte a Diciembre 31 de 2019, se apoyaron a través del PNCC 4.350 proyectos y actividades culturales. De los 4.350 proyectos y actividades culturales:_x000D_
* 2.138 se apoyaron mediante convocatoria pública por las siguientes líneas de acción: _x000D_
L1 Leer es mi cuento, 72 proyectos; _x000D_
L2 Actividades artísticas y culturales de duración limitada, 773 proyectos;_x000D_
L3 Fortalecimiento de espacios culturales, 205 proyectos;_x000D_
L4 Programas de formación artística y cultural, 742 proyectos; _x000D_
L5 Emprendimiento cultural, 53 proyectos;_x000D_
L6 Circulación artística a escala nacional, 72 proyectos; _x000D_
L7 Fortalecimiento cultural a contextos poblacionales específicos, 175 proyectos y,_x000D_
L8 Igualdad de oportunidades culturales para la población en situación de discapacidad, 46 proyectos._x000D_
* 100 Salas concertadas_x000D_
* y 62 proyectos y actividades artísticas, en: Ant. 9, Atlan. 1, San Andrés 1,  Btá. 14, Bol. 3, Cal. 2, Cau. 1, Cho. 2, Cund. 3, Huila 4, Internal. 1, Nal. 7, Nariño 1, Nte. Sant. 1, Sant. 2, Tol. 1 y Valle 9._x000D_
* 2.050 corresponden a la línea base del indicador.</t>
  </si>
  <si>
    <t>El 23 de diciembre finalizan las actividades relacionadas con el convenio 2981-19 con la Corporación Interactuar y se entregan los siguientes productos:_x000D_
- Programa para el fortalecimiento de habilidades gerenciales de emprendedores culturales diseñado_x000D_
- Caracterización de los emprendedores participantes en la implementación del programa._x000D_
- Implementación de los tres módulos (organizacional, mercadeo cultura, gestión financiera) del curso para habilidades gerenciales del programa de fortalecimiento para emprendedores culturales en los siguientes 14 municipios: Uribia, Santa Marta, Valledupar, Apartadó, Quibdó, Buenaventura, Guapi, Pasto, Mocoa, Puerto Asís, Leticia, Inírida, Villavicencio, Yopal_x000D_
- Implementación de los tres módulos (Turismo Sostenible, Normas y técnicas de calidad y Servicio al cliente) del curso de Turismo Cultural del Programa de fortalecimiento para emprendedores culturales en los siguientes 6 municipios: Leticia, Puerto Nariño, Zipaquirá, Sesquilé, Sáchica, Monguí. _x000D_
_x000D_
Con lo anterior se realiza la liquidación del convenio beneficiando a un total de 60 participantes en materia de asistencia técnica</t>
  </si>
  <si>
    <t>Se han adelantado las auditorias acorde al programa anual de auditorias, vigencia 2019.  Se entregaron los informes resultado de las auditorias internas de gestión realizadas al Subsistma de Salud y Seguridad en el Trabajo y a los Inventarios de Bienes Patrimoniales.  Se dió inicio a la auditoria Interna de Gestión del Programa de Fortalecimiento a Museos.  Se presento el informe consolidado con los resultados de las Auditorias Internas de Gestión realizadas durante el 2019.  Debido a la falta de personal en el  cuarto trimestre no fue posible adelantar todas las auditorias internas programadas, quedo faltando la Auditoria Interna al Programa Nacional de Escuelas Taller y las Cualificaciones</t>
  </si>
  <si>
    <t xml:space="preserve">Se realizo un diagnostico por cada Subsistemas para ver su avance con respectos a las normas que los rigen encontrando el siguiente estado:_x000D_
•	Sistema de Gestión de Calidad ISO 9001:2015: 100%_x000D_
•	Sistema de Gestión Ambiental ISO 14001:2015: 74%_x000D_
•	Sistema de Gestión Seguridad de la Información ISO 27001:2013: 57% Controles: 47%_x000D_
•	Sistema de Gestión Salud y Seguridad en el Trabajo Dec.1072 Resol. 0312: 85%_x000D_
_x000D_
_x000D_
Con base en este esquema se estableció un plan  de integración el cual se encuentra en un 60% de ejecución de acuerdo con los diagnósticos de cada subsistema y las actividades planificadas para cada uno de los mismos a 31 de diciembre de 2019._x000D_
_x000D_
_x000D_
</t>
  </si>
  <si>
    <t xml:space="preserve">Se implemento en un 43%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Resultados._x000D_
_x000D_
En la dimensión de direccionamiento estratégico se generó el análisis de contexto para la Planeación estratégica Institucional, se levantaron los Planes Acción y se documentó los procedimientos para la formulación de estos planes, En la Dimensión de Talento Humano se logro la formulación y cumplimiento del Plan GETH y los Planes de Capacitación, Vacantes, Seguridad Salud y el trabajo, incentivos institucionales y previsión de recursos humanos, así como se divulgo y se socializo a través del evento de carnaval de valores el código de integridad. En la dimensión de Gestión con valores para el resultado, se realizó la evaluación de cada uno de los subsistemas del Sistema Integrado de Gestión logrando identificar las brechas de implementación y se planificaron las actividades que se requieren para reducir dichas brechas.  En la dimensión de Evaluación de resultados se generaron indicadores para cada una de las estrategias establecidas en el PEI y para los 16 procesos y 11 Subprocesos, a través de cuales se adelanta el seguimiento a los avances en las estrategias y al desempeño institucional del Ministerio de Cultura.  En la Dimensión de Control Interno se elaboró la Matriz de Aseguramiento de la tercera línea defensa y se adelanto los seguimientos a través de los círculos de mejora de la segunda línea de defensa.          _x000D_
</t>
  </si>
  <si>
    <t xml:space="preserve">Se realizo el seguimiento y monitoreo de las actividades establecidas en el Plan Anticorrupción y de Atención al ciudadano, a través del registro de los avances a 31 de diciembre de los cinco componentes de acuerdo con la evidencia suministrada por los responsables._x000D_
En el seguimiento realizado se pudo evidenciar el siguiente avance en cada uno de los componentes: _x000D_
1.	Mapa de Riesgos de Corrupción 100%_x000D_
2.	Estrategias de Racionalización 58%_x000D_
3.	Rendición de Cuentas en 100%_x000D_
4.	Servicio al ciudadano en un 83% _x000D_
5.	Transparencia. 100%_x000D_
_x000D_
Esta información se envió a la Oficina de Control Interno para su evaluación y publicación. _x000D_
</t>
  </si>
  <si>
    <t>Al cierre de la vigencia se cumplió con el 100% del indicador (81 infraestructuras = LB 59 + 22 Entregadas vigencia 2019). las entregadas en 2019 fueron: 8 Bibliotecas construidas Bucaramanga Santander, Pueblo Bello Cesar, Inza y Sotara Cauca, Belén Boyacá, Suesca y Zipacón Cundinamarca y Valle de San Juan Tolima, 2 rehabilitaciones Teatro Jardín Antioquia, Centro Coreográfico y Danza en Cali Valle del Cauca, 12 adecuaciones Casa de Cultura de Mahates (San Basilio de Palenque) Bolívar, Biblioteca en Circasia Quindío,  Salones de Danza en Itagúi Antioquia, Mani Casanare, San Jose de Fragua Caquetá, San Bernardo y Tenjo Cund., Candelaria Valle,  Museos de Ocaña Norte de Santander e Inza Cauca , 2 Teatros en Jericó Antioquia y Providencia San Andrés. Adicionalmente se adelantan construcciones de 1 Biblioteca en  Montelíbano Córdoba, 2 Teatros en Quibdó Choco y Támesis Antioquia y 1 Centro Cultural en Santa Marta. Adecuaciones para 1 Casa de Cultura en Buenaventura Valle, 1 Biblioteca en Cúcuta Norte de Santander.</t>
  </si>
  <si>
    <t xml:space="preserve">El porcentaje corresponde a 29 decisiones de las cuales 26 han sido a favor de la entidad y 3 en contra. </t>
  </si>
  <si>
    <t xml:space="preserve">En lo corrido del año se beneficiaron 4.664 personas por programas de formación artística y cultural, tales como el Plan Nacional de Música para la Convivencia, Teatro circo, Libertad bajo Palabra, diplomado de espejos y cartográficas, de comunicación, diplomado en gestión de proyectos culturales, talleres para productores en cinematografía y de producción de talleres contenidos digitales culturales. De acuerdo con lo anterior se reporta un cumplimiento superior al 100%, con respecto a la meta del indicador._x000D_
Se reportan beneficiarios adicionales a la meta establecida para la vigencia 2019, porque con los recursos desaplazados se realizaron algunas adiciones a los procesos de formación para ampliar cupos, así como la realización del proceso de formación de cartografías y espejos._x000D_
</t>
  </si>
  <si>
    <t>En lo corrido del año se beneficiaron 187.566 Niños y jóvenes por medio de programas y procesos artísticos y culturales, tales como Plan Nacional de Danza, Plan Nacional de Música para la convivencia y el Programa música para la reconciliación. De acuerdo con lo anterior se reporta un cumplimiento superior al 100%, con respecto a la meta del indicador._x000D_
_x000D_
Se reportan beneficiarios adicionales a la meta establecida para la vigencia 2019, porque gracias al acompañamiento y al apoyo brindado por la Dirección de Artes a las escuelas municipales de música y danza se ha logrado que estas brinden y amplíen la oferta en los procesos dirigidos a niños y jóvenes, por otro lado es importante mencionar que al mismo tiempo se logró la totalidad del registro de los beneficiarios de la oferta artística y cultural de las escuelas municipales de música en el Sistema de Información Musical – SIIMUS (en vigencias anteriores no se había logrado la totalidad del registro).</t>
  </si>
  <si>
    <t xml:space="preserve">Se presentan los siguinetes avances en el reporte del indicador:_x000D_
* Se identificaron las infraestructuras para la circulación de prácticas artísticas y culturales a través de una encuesta virtual a los agentes enviada a los agentes de danza, teatro y circo._x000D_
 * Se consolidó la información de escenarios de teatro y circo obtenida a través de los programas nacionales de Salas Concertadas y Salas de Danza. _x000D_
</t>
  </si>
  <si>
    <t>En la vigencia 2019, se ejecutó el Programa Expedición Sensorial, en las regiones de Montes de María y Catatumbo, en donde se destacan las siguientes acciones: Montes de María: la existencia de productos y contenidos artísticos con potencial de circulación, tales como la producción discográfica Maestros y Juglares; la obra de creación colectiva Mako: Retorno sin fuego; la Exposición Donde Trinan los Mochuelos. Así mismo, desde Expedición se cuenta con 14 iniciativas de gestión cultural y emprendimiento apoyadas en una primera fase. Catatumbo: se logró atender a 30 corregimientos con procesos de formación artística. De otra parte, en la región se destaca el proceso asociativo de las alcaldías municipales a través de Asomunicipios. De esta forma, es importante reforzar los esquemas de articulación con la institucionalidad local. De acuerdo con lo anterior se reporta un cumplimiento de 100%, con respecto a la meta del indicador.</t>
  </si>
  <si>
    <t xml:space="preserve">Se ejecutaron cuarenta y siete (47) eventos de formación de los cuarenta y cinco (45) que estaban programados dentro del Plan Institucional de Capacitación para la presente vigencia. _x000D_
_x000D_
Se desarrollaron dos eventos adicionales de capacitación, el primero, dando cumplimiento a los acuerdos sindicales suscritos en la vigencia 2019, y el segundo, en virtud de la asignación presupuestal para desarrollar el Programa de Auditores Internos en Sistemas Integrado de Gestión, que se aprobó para el segundo semestre del año. </t>
  </si>
  <si>
    <t>El 94% de los participantes califico en nivel alto y muy alto los procesos de formación ejecutados y evaluados a la fecha de corte.</t>
  </si>
  <si>
    <t>El Ministerio de Cultura cuenta con con los siguientes instrumentos archivísticos actualizados y publicados en la página web de la entidad: Programa de Gestión Documental  y Banco Terminológico de Series y Subseries Documentales.</t>
  </si>
  <si>
    <t>En el mes de mayo se realizará el lanzamiento de la convocatoria de la fase II del programa nacional de estimulos que incluye 2 Becas para la públicación de obra de autoras negras, afrocolombianas, raizales y/o palenqueras. _x000D_
Se tiene previsto que se otorguen estos estimulos en el mes de octubre del 2019._x000D_
_x000D_
La convocatoria cerró el 5 de julio del 2019, se presentaron y los resultados que se publicaran el 25 de octubre del 2019. Cada estímulo tiene una cuantía de $12.000.000._x000D_
_x000D_
De acuerdo al reporte de Literatura: "la Becas para publicación de obras de autoras afrocolombianas, negras, raizales y/o palenqueras se recibieron 5 propuestas y se rechazaron 2 porque no cumplían con los requisitos. Así las cosas, los jurados revisarán 3 propuestas, de las cuales, finalmente se declararon desiertas. _x000D_
_x000D_
El Ministerio cumplió con ofertar las 2 Becas a través del programa Nacional de Estimulos; sinembargo, las obras obras presentadas no cumplieron con los requisitos y criterios del jurado.</t>
  </si>
  <si>
    <t xml:space="preserve">El avance cualitativo corresponde al diseño de la estrategia del Programa Mujeres Afro, que según establecido en la ficha tecnica corresponde al 10%_x000D_
_x000D_
Con corte al 31 de agosto,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octubre del 2019._x000D_
_x000D_
Con corte al 30 de septiembre,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noviembre dado que las participantes estaran proceso electorales y la clase del 25 y 26 de octubre se corrió para noviembre del 2019._x000D_
_x000D_
El 02 de noviembre se cumplió con el 100% del proceso de formación piloto de Narrativas Afrocomunitarias en Buenaventura. _x000D_
_x000D_
_x000D_
El 06 de diciembre se realizó la claúsura del piloto de formación en Buenaventura. </t>
  </si>
  <si>
    <t xml:space="preserve">Con corte al 31 de diciembre las narradoras han participado en 10 circuitos._x000D_
_x000D_
</t>
  </si>
  <si>
    <t>En la vigencia 2019, se abrieron 207 convocatorias, a las cuales se presentaron 10.017 participantes con 6.298 propuestas de los 32 departamentos del país y de colombianos residentes en el exterior. Así mismo, se han publicado resultados de 207 convocatorias, con 930 estímulos otorgados por un valor de $16.904 millones. Para un total de 1.801 estímulos otorgados, incluyendo la linea base del indicador (871)._x000D_
Dado que hubo convocatorias declaradas desiertas, por ausencia de proponentes, por incumplimiento de requisitos y la no delegación de ganadores suplentes; no fue posible cumplir con la meta establecida para el año 2019, quedando pendiente por otorgar 144 estímulos (meta rezagada).</t>
  </si>
  <si>
    <t>Al cierre de la vigencia 2019, el número de estímulos otorgados por el PNE, priorizados con seguimiento fue de 102.</t>
  </si>
  <si>
    <t>Los asesores de la Dirección de Fomento Regional  visitó en total 1000 municipios, 31 ciudades capitales y 32 departamentos para realizar acompañamiento y asistencia técnica a la institucionalidad cultural, los creadores y gestores culturales y los consejos de cultura en temas relacionados con procesos de planeación, formulación de proyectos, fuentes de financiación y participación ciudadana. En total se han visitado 1063 de 1134 departamentos y municipios del país para un avance del 93%</t>
  </si>
  <si>
    <t>Se da cumplimiento a la meta con 263 funciones realizadas en las salas del Teatro Colón., donde hay 130 funciones de línea base y 133 funciones  realizadas entre el 1 de febrero hasta el 31 de Diciembre de 2019 las cuales fueron: Viaje Barroco (3); Las mujeres de Lorca (3); Violines mágicos de Moscú (2); Revolución Pazcífica (3); Radioteatro, El perro del Hortelano (1); Laurita y las tetas (2); Camargo (2); El libro de Job (2); Macbeth (6); Compañía Nacional de Danza de España (5); El dueño de todas las cosas (3); Toque Colón Espíritu Balanta y estrellas del Timbiquí (1);_x000D_
El dueño de todas las cosas (6); Contrapunto - Así suena Colombia (2); Woyzeck (13); El dueño de todas las cosas (7); Torneo de dramaturgia (7); dueño de todas las cosas (1); Britten (2); Dido y eneas (2); concurso piano (5); Princesa Ligera 2; Un tranvía llamado deseo (19); Ballet Castro Alves (2); Still Reich- Focus compañía de danza (2); Princesa Ligera (6); NHardem y las Hermanas (1); Strauss Capelle (1); Pombo el Musical _x000D_
El sobre cumplimiento de 33 funciones adicionales a las proyectadas se da gracias a la gestión con el sector privado para producir o coproducir funciones adicionales en la vigencia 2019, con el fin de obtener un desempeño sobresaliente.</t>
  </si>
  <si>
    <t xml:space="preserve"> Se adelantan los cálculos presupuestales para la adecuación, museografía, contrataciones y sostenibilidad del espacio para consolidar el documento técnico. Se dio cumplimiento de acuerdo a lo programado para la vigencia 2019, para el 2020 se dará continuidad a la viabilización para la estructuración del Museo de la Afrocolombianidad.</t>
  </si>
  <si>
    <t>Los Museos del Ministerio de Cultura dieron cumplimiento a la adecuación y mantenimiento de sus espacios y equipos lo cual permitió realizar exposiciones temporales, rotaciones en las salas permanentes y el desarrollo de una programación educativa y cultural generando apropiación del patrimonio.</t>
  </si>
  <si>
    <t>El avance en el Sistema Integrado de Conservación y Restauración (SICRE) se continua realizó en todos los Museos del Ministerio de Cultura de manera permanente para mantener adecuadamente el patrimonio colombiano.</t>
  </si>
  <si>
    <t>Se dió cumplimiento con la itinerancia de la estrategia de exposiciones y materiales didácticos itinerantes del Museo Nacional, Museos Colonial, Santa Clara, Independencia y Quinta de Bolívar a los centros culturales del Banco de la República programados. Se concretó con la dirección de Fomento la ampliación de cobertura a Inírida y se llegó con los materiales itinerantes al centro cultural del Banco de la República en Neiva y en Florencia. 
Por otra parte se acordó con las bibliotecas públicas de Susa y  Baranoa la utilización de la exposición, la sala y la maleta viajera a partir de noviembre hasta el año 2020.</t>
  </si>
  <si>
    <t>246 municipios han girado a Colpensiones la suma de $75.930 millones para asignar a 3.102 creadores y gestores culturales los beneficios de anualidad vitalicia (2.717) y financiación de aportes al Servicio Social Complementario de BEPS (385).</t>
  </si>
  <si>
    <t>Según fuente GESPROY con corte a 31 de diciembre, se aprobaron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</si>
  <si>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Se cumplio la meta con 104 presentaciones realizadas, donde a la línea base de 40 presentaciones se suman las 64 realizadas en la vigencia 2019 así: 14 conciertos gratuitos realizados en espacios no convencionales de Bogotá y municipios cercanos., 4 conciertos de la Orquesta Sinfónica Nacional de Colombia en la conmemoración del Bicentenario., 4 conciertos familiares y didácticos realizados para la formación de público infantil y juvenil., 3 conciertos y actividades realizadas que permitan aumentar la participación de los profesionales en las prácticas de dirección y composición de música sinfónica., 6 prácticas para integrar la musical de la Orquesta con la puesta escena de opera y ballet con miras a ampliar la oferta artística., 16 presentaciones que fortalecen la alianza estratégica institucional con el Teatro Colón., y 17 presentaciones para difundir el repertorio sinfónico universal y acercar a distintos publicos a la experiencia sinfónica en vivo.</t>
  </si>
  <si>
    <t xml:space="preserve">Al cierre de la vigencia 2019 se formularon y ejecutaron la totalidad de los eventos conmemorativos al bicentenario. </t>
  </si>
  <si>
    <t>1. Desde el Viceministerio de la Creatividad y la Economía Naranja se realizó seguimiento a los proyectos presentados por la Fundación Batuta y a escuela de música EMMAT en el marco de la Resolución 1933-2019 Línea Reactiva de FINDETER._x000D_
_x000D_
Y se enviaron los conceptos técnicos favorables correspondientes a la aprobación de dichos proyectos._x000D_
2. Se realizó seguimiento al Viceministerio de Fomento Regional y Patrimonio para la validación y entrega de los prototipos que serán incluidos en el módulo de la Línea Reactiva de FINDETER en el dominio www.economianaranja.gov.co_x000D_
_x000D_
Con lo anterior se establecen 2 principales mecanismos de financiación diseñados y puestos en funcionamiento para la vigencia 2019: _x000D_
_x000D_
2. Línea Reactiva de Findeter_x000D_
3. Diseño y puesta en marcha de la segunda fase del Programa Nacional de Estímulos (Capítulo Naranja)</t>
  </si>
  <si>
    <t xml:space="preserve"> A 31 de octubre se crearon 498 usuarios en la plataforma economianaranja.gov.co, de los cuales 339 enviaron la _x000D_
1. A 31 de octubre se crearon 498 usuarios en la plataforma www.,economianaranja.gov.co, de los cuales 339 enviaron la documentación necesaria para aplicar al beneficio de rentas exentas por siete años. A 24 de diciembre se evaluaron 339 proyectos. _x000D_
Hasta el momento, 24/12/2019, se han atendido las siguientes solicitudes con relación al Beneficio de Rentas Exentas:_x000D_
en info-economianaranja.gov.co:  10 consultas_x000D_
Vía telefónica: 250_x000D_
PQR: 0_x000D_
Presencial: 2_x000D_
_x000D_
A 24 de diciembre se enviaron aproximadamente 600 correos con la comunicación de la DIAN, indicando las nuevas condiciones de la postulación dado el fallo de la Corte Constitucional, también se envió la ratificación de los requisitos mencionados en la comunicación de la DIAN y la solicitud de notificación electrónica del acto administrativo. Además, se realizaron aproximadamente 700 llamadas para dar claridad con la comunicación de la DIAN y las observaciones que hizo el comité a cada proyecto. _x000D_
_x000D_
A la fecha se han expedido 84 acto de conformidad aprobados, 89 actos de NO conformidad, 15 proyectos han quedado por aclarar las observaciones dadas por el comité y 153 proyectos desistieron (29 de manera formal con una carta enviada a info-economianaranja.gov.co), para un total de 339 proyectos atendidos._x000D_
_x000D_
El aumento de la demanda de empresas que accedieron al sistema de beneficios tributarios correspondió principalmente a los canales de difusión que presentó la oferta y a la expansión de industrias culturales y creatvas y culturales en el territorio nacional y a la inclusión de los 289 certificados de inversión y donación cinematográfica que se expidieron durante el año 2019.</t>
  </si>
  <si>
    <t>PLAN ESTRATÉGICO INSTITUCIONAL 2018-2022</t>
  </si>
  <si>
    <t>ID_O</t>
  </si>
  <si>
    <t>ID_E</t>
  </si>
  <si>
    <t>ID_I</t>
  </si>
  <si>
    <t>No.</t>
  </si>
  <si>
    <t>OBJETIVO ESTRATEGICO</t>
  </si>
  <si>
    <t>LÍDER DE OBJETIVO</t>
  </si>
  <si>
    <t>No</t>
  </si>
  <si>
    <t>ESTRATEGIA</t>
  </si>
  <si>
    <t>RESPONSABLE DE LA ESTRATEGIA</t>
  </si>
  <si>
    <t>INDICADOR</t>
  </si>
  <si>
    <t>RESPONSABLE DEL INDICADOR</t>
  </si>
  <si>
    <t>LINEA
 BASE</t>
  </si>
  <si>
    <t>META CUATRIENIO</t>
  </si>
  <si>
    <t>META
2019</t>
  </si>
  <si>
    <t>OBSERVACIONES</t>
  </si>
  <si>
    <t>META
 2020</t>
  </si>
  <si>
    <t>META
2021</t>
  </si>
  <si>
    <t>META
 2022</t>
  </si>
  <si>
    <t xml:space="preserve">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t>
  </si>
  <si>
    <t>Ministra
Viceministros</t>
  </si>
  <si>
    <t>Jefe Oficina Jurídica</t>
  </si>
  <si>
    <t>Proyecto de modificación de la Ley de Cultura presentado al Congreso</t>
  </si>
  <si>
    <t>NA</t>
  </si>
  <si>
    <t>-</t>
  </si>
  <si>
    <t>Despacho Viceministro de Creatividad y Economía Naranja</t>
  </si>
  <si>
    <t>Formulación e implementación de Políticas Públicas del ámbito cultural con enfoque poblacional y territorial</t>
  </si>
  <si>
    <t>Dirección e Patrimonio</t>
  </si>
  <si>
    <t>Dirección de Patrimonio</t>
  </si>
  <si>
    <t>Plan Decenal de Lenguas Nativas concertado y protocolizado</t>
  </si>
  <si>
    <t>Dirección de Poblaciones</t>
  </si>
  <si>
    <t>Documentos de Políticas Públicas para el fortalecimiento de la Economia Naranja formulados</t>
  </si>
  <si>
    <t>Subsectores de la Cuenta Satélite de Cultura medidos</t>
  </si>
  <si>
    <t>Despacho Viceministro de Creatividad y Economia Naranja</t>
  </si>
  <si>
    <t xml:space="preserve">Liderar la articulación entre los diferentes niveles de gobierno, los agentes del sector cultura y el sector privado para propiciar el acceso a la cultura, la innovación y el emprendimiento cultural desde nuestros territorios
</t>
  </si>
  <si>
    <t>Viceministro de Creatividad y Economia naranja
Director de Fomento Regional</t>
  </si>
  <si>
    <t xml:space="preserve">
Fortalecimiento de la gestión cultural en los territorios</t>
  </si>
  <si>
    <t>Director de Fomento Regional</t>
  </si>
  <si>
    <t>Entidades territoriales asesoradas en la estrategia de Fomento a la Gestión Cultural</t>
  </si>
  <si>
    <t>Fortalecimiento del emprendimiento cultural en los territorios</t>
  </si>
  <si>
    <t>Coordinadora Grupo de Emprendimiento Cultural</t>
  </si>
  <si>
    <t>Pilotos con el programa "mujeres afro narran su territorio implementados" (componente emprendimiento).
Código: Programa mujeres afro narran su territorio</t>
  </si>
  <si>
    <t>Despacho Ministra</t>
  </si>
  <si>
    <t>N.A</t>
  </si>
  <si>
    <t>Promoción de un entorno institucional para desarrollo y consolidación de la Economía Naranja.</t>
  </si>
  <si>
    <t>Viceministro de Economía Naranja</t>
  </si>
  <si>
    <t xml:space="preserve">Agendas creativas regionles implementadas </t>
  </si>
  <si>
    <t>Director de Poblaciones</t>
  </si>
  <si>
    <t>Promoción de hábitos de lectura en la población Colombiana con énfasis en la primera infancia, infancia, adolescencia y familias</t>
  </si>
  <si>
    <t>Directora Biblioteca Nacional</t>
  </si>
  <si>
    <t>Biblioteca Nacional</t>
  </si>
  <si>
    <t>Promedio de libros leídos por la población colombiana, de 12 años o más que leyeron libros  (ECC)</t>
  </si>
  <si>
    <t>Usuarios que acceden a las plataformas Maguaré y MaguaRED</t>
  </si>
  <si>
    <t>Dirección de Artes</t>
  </si>
  <si>
    <t xml:space="preserve">Entidades Territoriales con asesoria y acompañamiento técnico para el fortalecimiento de las Redes y/o Bibliotecas Públicas de su región. </t>
  </si>
  <si>
    <t xml:space="preserve">Directora Biblioteca Nacional
</t>
  </si>
  <si>
    <t>Directora de Artes</t>
  </si>
  <si>
    <t>Cualificaciones del sector según el mapa ocupacional y los segmentos del campo cultural elaboradas.</t>
  </si>
  <si>
    <t>Director de Patrimonio</t>
  </si>
  <si>
    <t>Niños y jóvenes beneficiados por programas y procesos artísticos y culturales
Código: Política Antidrogas - Ruta Futuro</t>
  </si>
  <si>
    <t>Municipios acompañados en el desarrollo de estrategias de circulación y formación de públicos, para el cine colombiano.</t>
  </si>
  <si>
    <t>Director de Cinematografía</t>
  </si>
  <si>
    <t>Directora de Comunicaciones</t>
  </si>
  <si>
    <t>Pilotos con el programa "mujeres afro narran su territorio implementados". (componente creación)
Código: Programa mujeres afro narran su territorio</t>
  </si>
  <si>
    <t>Viceministro de Creatividad y Economía Naranja</t>
  </si>
  <si>
    <t>Dirección de Cinematografía</t>
  </si>
  <si>
    <t xml:space="preserve">Viceministro de Creatividad y Economía Naranja
</t>
  </si>
  <si>
    <t>Conciertos realizados para acercar al público a la experiencia de la música sinfónica.</t>
  </si>
  <si>
    <t>Funciones de obras artísticas y culturales realizadas en sala del Teatro Colón</t>
  </si>
  <si>
    <t>Teatro Colón</t>
  </si>
  <si>
    <t>Diseño y puesta en marcha de modelos de financiación para la cultura.</t>
  </si>
  <si>
    <t>Despacho del Viceministro de Economía Naranja y la Creatividad</t>
  </si>
  <si>
    <t>Promoción de la gestión de recursos para el desarrollo de los procesos artísticos y culturales</t>
  </si>
  <si>
    <t>Oficina Asesora de Asuntos Internacionales</t>
  </si>
  <si>
    <t>Área de asuntos internacionales y cooperación</t>
  </si>
  <si>
    <t>Dirección de Fomento Regional</t>
  </si>
  <si>
    <t>Proyectos aprobados en el Sistema General de Regalías para el sector Cultura</t>
  </si>
  <si>
    <t>Coordinadora Grupo de Infraestructura Cultural</t>
  </si>
  <si>
    <t>Infraestructuras culturales Construidas, adecuadas y dotadas,</t>
  </si>
  <si>
    <t>Diseño del museo de la diversidad étnica y cultural</t>
  </si>
  <si>
    <t>Director Museo Nacional</t>
  </si>
  <si>
    <t>N/A</t>
  </si>
  <si>
    <t>Diseño e e implementación de circuitos regionales para la movilidad de los procesos y practicas artísticas y culturales en articulación con las infraestructuras y los programas existentes en el territorio.</t>
  </si>
  <si>
    <t>Viceministro de Creatividad y Economía Naranja
Directora Artes</t>
  </si>
  <si>
    <t>Directora Artes</t>
  </si>
  <si>
    <t>Circuitos nacionales e internacionales de las narradoras afros y sus obras.
Código: Programa mujeres afro narran su territorio</t>
  </si>
  <si>
    <t>Por definir</t>
  </si>
  <si>
    <t>Implementar acciones de protección, reconocimiento y salvaguarda del patrimonio cultural Colombiano para preservar e impulsar nuestra identidad nacional, desde los territorios.</t>
  </si>
  <si>
    <t>Director de Patrimonio
Directora Artes</t>
  </si>
  <si>
    <t>Manifestaciones inscritos en la Lista Representativa de Patrimonio Cultural Inmaterial de la Humanidad y la Lista de Patrimonio Mundial de la UNESCO</t>
  </si>
  <si>
    <t>Regiones PDET con el programa de Expedición Sensorial Implementado.</t>
  </si>
  <si>
    <t>Planes formulados y en ejecución
Código: Bicentenario</t>
  </si>
  <si>
    <t>Ejemplares de la colección "Historias de la Historia de Colombia" que hacen parte de la Serie Leer es mi cuento entregados.
Código: Bicentenario</t>
  </si>
  <si>
    <t>Dirección artes</t>
  </si>
  <si>
    <t>Bienes de interés cultural del ámbito nacional que cuentan con Planes Especiales de Manejo y Protección PEMP</t>
  </si>
  <si>
    <t>Bienes de interés cultural del ámbito nacional intervenidos</t>
  </si>
  <si>
    <t>Garantía de la preservación del patrimonio material representado en las colecciones de los Museos del Ministerio de  Cultura</t>
  </si>
  <si>
    <t>Impulsar procesos creativos culturales que generen valor social agregado y fortalezca la identidad y memoria cultural, desde los territorios.</t>
  </si>
  <si>
    <t xml:space="preserve">Ministra
Viceministros </t>
  </si>
  <si>
    <t>Fortalecimiento del Programa Nacional de Concertación Cultural - PNCC y el Programa Nacional de Estímulos -  PNE.</t>
  </si>
  <si>
    <t>Coordinadores PNCC y PNE.</t>
  </si>
  <si>
    <t>Proyectos artísticos y culturales apoyados a través del Programa Nacional de Concertación Cultural</t>
  </si>
  <si>
    <t>Coordinadora PNCC</t>
  </si>
  <si>
    <t>Proyectos apoyados por el PNCC priorizados con seguimiento</t>
  </si>
  <si>
    <t>Dependencias Misionales Coordinador PNCC</t>
  </si>
  <si>
    <t>Coordinador PNE</t>
  </si>
  <si>
    <t>Estímulos otorgados por el PNE, priorizados con seguimiento</t>
  </si>
  <si>
    <t>Dependencias Misionales Coordinador PNE</t>
  </si>
  <si>
    <t>Emprendedores o empresas de las agendas creativas regionales fortalecidas con asistencia técnica</t>
  </si>
  <si>
    <t>Empresas que acceden al sistema de beneficios tributarios</t>
  </si>
  <si>
    <t>Fortalecimiento de espacios itinerantes y no convencionales, para extender la oferta de bienes y servicios culturales.</t>
  </si>
  <si>
    <t>Directora Biblioteca Nacional y Director Museo Nacional</t>
  </si>
  <si>
    <t>Bibliotecas públicas de la RNBP que implementan el Programa de Bibliotecas Itinerantes.</t>
  </si>
  <si>
    <t>Exposiciones de colecciones itinerantes realizadas</t>
  </si>
  <si>
    <t xml:space="preserve">Fortalecer la capacidad de gestión y desempeño institucional y la mejora continua de los procesos, basada en  la gestión de los riesgos,  el manejo de la  información y la evaluación para la toma de decisiones
</t>
  </si>
  <si>
    <t>Secretaría General</t>
  </si>
  <si>
    <t xml:space="preserve">Secretaría General
</t>
  </si>
  <si>
    <t>Grupo de Gestión Financiera y Contable</t>
  </si>
  <si>
    <t>Seguimiento del Plan Estratégico Institucional</t>
  </si>
  <si>
    <t>Nivel de implementación de las dimensiones del Modelo Integrado de Planeación y Gestión.</t>
  </si>
  <si>
    <t xml:space="preserve"> Nivel de integración de los subsistemas en el Sistema Integrado de Gestión Institucional</t>
  </si>
  <si>
    <t>Fortalecimiento del sistema de control interno y la lucha contra la corrupción</t>
  </si>
  <si>
    <t>Grupo de Servicio al ciudadano</t>
  </si>
  <si>
    <t xml:space="preserve">Seguimiento y monitoreo del Plan Anticorrupción y Atención al Ciudadano. </t>
  </si>
  <si>
    <t>Oficina Asesora de Planeación y Responsable de cada uno de los componentes. 
C1 Gestión del riesgo de corrupción: Oficna Asesora de Planeación
C2 Racionalización de Trámites: Grupo de Servicio al ciudadano, Áreas Misionales y Oficina Asesora de Planeación
C3 Rendición de Cuentas: Oficina Asesora de Planeación, Viceministros,Áreas Misionales y Grupo de Divulgación y Prensa.
C4 Atención al Ciudadano: Grupo de Servicio al ciudadano y Oficina Asesora de Planeación
C5 Transparencia y acceso a la información: Grupo de Gestión Administrativa y Grupo de Divulgación y Prensa.</t>
  </si>
  <si>
    <t>Grupo de Gestión Humana</t>
  </si>
  <si>
    <t>Nivel de ejecución del Plan Institucional de Capacitaciones</t>
  </si>
  <si>
    <t xml:space="preserve">Fortalecimiento de  las TICs y los canales de comunicación.  </t>
  </si>
  <si>
    <t>Grupo de Gestión de Sistemas e informática</t>
  </si>
  <si>
    <t>Grupo de Gestión de Sistemas e Informática</t>
  </si>
  <si>
    <t>Grupo de Gestión Documental</t>
  </si>
  <si>
    <t>CARMEN INÉS VÁSQUEZ CAMACHO - MINISTRA DE CULTURA</t>
  </si>
  <si>
    <t>AVANCE 2020</t>
  </si>
  <si>
    <t>Se conceptualizaron 22 proyectos, superando con creces la meta de 15 para el año 2019.</t>
  </si>
  <si>
    <t>OBSERVACIONES 2019</t>
  </si>
  <si>
    <r>
      <rPr>
        <b/>
        <sz val="12"/>
        <color rgb="FFFF0000"/>
        <rFont val="Arial"/>
        <family val="2"/>
      </rPr>
      <t>Rezago</t>
    </r>
    <r>
      <rPr>
        <b/>
        <sz val="12"/>
        <rFont val="Arial"/>
        <family val="2"/>
      </rPr>
      <t xml:space="preserve"> o Avance Meta Cuatrenío</t>
    </r>
  </si>
  <si>
    <t>Ocultar para Públicar</t>
  </si>
  <si>
    <t>CIERRE 
2019</t>
  </si>
  <si>
    <t>Diseño del Museo Afro de Colombia</t>
  </si>
  <si>
    <t>Planes formulados y en ejecución
Código: Bicentenario</t>
  </si>
  <si>
    <t>Pilotos con el programa "mujeres afro narran su territorio implementados". (componente creación)
Código: Programa mujeres afro narran su territorio</t>
  </si>
  <si>
    <t>Desarrollo del programa "mujeres narran su territorio"
Código: Programa mujeres narran su territorio</t>
  </si>
  <si>
    <t>Nodos y mesas de economía naranja instalados y con asistencia técnica en el territorio nacional</t>
  </si>
  <si>
    <t>Creadores y gestores culturales beneficiados con el programa de Beneficios Económicos Periódicos - BEPS</t>
  </si>
  <si>
    <t>Obras artísticas exhibidas y/o divulgadas de las artes plásticas y visuales</t>
  </si>
  <si>
    <t>Empresas y personas naturales que acceden al sistema de beneficios tributarios para la cultura, la creatividad y la Economía Naranja</t>
  </si>
  <si>
    <t>Dirección de Audiovisuales, Cine y Medios Interactivos</t>
  </si>
  <si>
    <t xml:space="preserve">Dirección de Estrategia, Desarrollo y Emprendimiento
</t>
  </si>
  <si>
    <t xml:space="preserve">Agendas creativas regionales implementadas </t>
  </si>
  <si>
    <t xml:space="preserve">PLAN ESTRATÉGICO INSTITUCIONAL 2019-2022 </t>
  </si>
  <si>
    <t>Politica de turismo cultural actualizada</t>
  </si>
  <si>
    <t>% AVANCE 2020</t>
  </si>
  <si>
    <t>AVANCE ACUMULADO 2020</t>
  </si>
  <si>
    <t>% Avance acumulado cuatrienio</t>
  </si>
  <si>
    <t>Objetivo 1</t>
  </si>
  <si>
    <t>Objetivo 2</t>
  </si>
  <si>
    <t>Objetivo 3</t>
  </si>
  <si>
    <t>Objetivo 4</t>
  </si>
  <si>
    <t>Objetivo 5</t>
  </si>
  <si>
    <t>Objetivo 6</t>
  </si>
  <si>
    <t>Objetivo 7</t>
  </si>
  <si>
    <t>Objetivo 8</t>
  </si>
  <si>
    <t>Promedio total</t>
  </si>
  <si>
    <t>% AVANCE ACUMULADO 2021</t>
  </si>
  <si>
    <t>Cumplido en 2020</t>
  </si>
  <si>
    <t>AVANCE ACUMULADO 2021</t>
  </si>
  <si>
    <t>% AVANCE cuatrienio 2020</t>
  </si>
  <si>
    <t>% AVANCE cuatrienio 2021</t>
  </si>
  <si>
    <t>CIERRE 2020</t>
  </si>
  <si>
    <t>CIERRE 2021</t>
  </si>
  <si>
    <t>AVANCE 2022</t>
  </si>
  <si>
    <t>% AVANCE cuatrienio 2022</t>
  </si>
  <si>
    <t>% AVANCE 2022</t>
  </si>
  <si>
    <t>Meta cumplida en 2020</t>
  </si>
  <si>
    <t>Meta cumplida en 2019</t>
  </si>
  <si>
    <t>Avance acumulado</t>
  </si>
  <si>
    <t>Cumplido en 2021</t>
  </si>
  <si>
    <t>Cumplido en 2019</t>
  </si>
  <si>
    <t xml:space="preserve">Durante el mes de junio el DANE envió el modelo de contratación propuesta, en estudio en el Ministerio de Cultura. El Ministerio de Educación, en reunión del 17 de junio, informó que no requiere preguntas adicionales sino incluir como grupo de interés a los maestros y de forma conjunta (Mincultura y Mineducación) se elaborarán preguntas sobre oralidad. Se realizó reunión con el DANE el 30 de junio para la revisión de todos los temas y poder recibir la comunicación formal con el valor de la encuesta, documento indispensable para las siguientes gestiones, en la cual se acordó un plan de acción tendiente a la planeación y el trámite de contratación. Así mismo, se acordó definir cronograma de trabajo y procedimiento para tener el valor de la encuesta y poder gestionar la contratación.	 </t>
  </si>
  <si>
    <t>Durante el mes de junio el DANE envió el modelo de contratación propuesta, en estudio en el Ministerio de Cultura. El Ministerio de Educación, en reunión del 17 de junio, informó que no requiere preguntas adicionales sino incluir como grupo de interés a los maestros y de forma conjunta (Mincultura y Mineducación) se elaborarán preguntas sobre oralidad. Se realizó reunión con el DANE el 30 de junio para la revisión de todos los temas y poder recibir la comunicación formal con el valor de la encuesta, documento indispensable para las siguientes gestiones, en la cual se acordó un plan de acción tendiente a la planeación y el trámite de contratación. Así mismo, se acordó definir cronograma de trabajo y procedimiento para tener el valor de la encuesta y poder gestionar la contratación.</t>
  </si>
  <si>
    <t>OBSERVACIONES (Junio 2022)</t>
  </si>
  <si>
    <t>Durante el mes de junio de 2022 se digitalizaron, editaron y dispusieron en la Biblioteca Digital de la Biblioteca Nacional 241 recursos digitales, para un total acumulado de 7.300 recursos durante el cuatrienio.	 
En este orden de ideas, se da cumplimiento a la meta establecida para el cuatrienio de 7.300 libros digitales dispuestos al público.</t>
  </si>
  <si>
    <t xml:space="preserve">Con corte a 30 de junio de 2022 se adelantaron las acciones de implementación de las 150 BRI correspondientes a 2022, así: a) adquisición, alistamiento y envío de la maleta de recursos bibliográficos, tecnológicos y didácticos a las 150 bibliotecas y comunidades rurales seleccionadas para la vigencia, b) Acompañamiento técnico y formativo presencial a las 150 comunidades con la participación de 366 mediadores rurales, c) convocatoria, verificación y selección de 116 BRI para la entrega en el mes de julio del incentivo económico para el desarrollo y fortalecimiento de la estrategia de itinerancia, d) Entre el 24 de junio y el 15 de julio se están llevando a cabo los encuentros regionales y nacional de formación e intercambio de experiencias del programa.	 
Contando a la fecha con 600 bibliotecas itinerantes implementadas en el cuatrienio.  	 </t>
  </si>
  <si>
    <t xml:space="preserve">Con corte a junio, un total de 1.218 personas han sido beneficiadas por programas de formación artística y cultural, así: Becas INI - Juventud 2021, 41 jóvenes beneficiados por medio de procesos de formación en territorio. De otra parte, en el marco de la estrategia de Conexiones Diversas, se realizó el primer evento de la Zona Andina para el relacionamiento de Canales regionales, realizadores independientes y colectivos de comunicación con la participación de 47 personas y un segundo encuentro sobre redes y conexiones en la región caribe con la participación de 148 realizadores independientes, creadores de canales regionales y comunitarios. 
Por otra parte, dentro de la estrategia de encuentros para la actualización pedagógica de salas de Danza dotadas, se realizó el encuentro del nodo norte, donde se logró beneficiar a 20 maestros de estas escuelas. Así mismo, desde el área de Literatura se realizaron 2 talleres de formación en alianza con el Cerlalc, beneficiando a 52 personas. En Teatro se benefició a 35 personas por medio del Laboratorio nacional de Teatro comunitario, 65 formados por medio del diplomado virtual Danza Viva, 75 beneficiarios en Talleres literarios y 18 artistas visuales beneficiados de los laboratorios de mediación en el marco del Salón Nacional de Artistas.
También, finalizó en mayo el diplomado en Gestión y Formulación de Proyectos Culturales por medio del cual se beneficiaron 670 personas. El diplomado se realizó de manera virtual en 12 sedes a nivel nacional y de manera semipresencial en cinco (5) sedes ubicadas en: Valledupar, Cesar; Neiva, Huila; Cali, Valle del Cauca; Bucaramanga, Santander y Manizales, Caldas.	
Contando a la fecha con 14.296 personas beneficiadas por programas de formación artística y cultural en el cuatrienio. Cumpliendo así con la meta establecida para el cuatrienio. 	</t>
  </si>
  <si>
    <t>A 30 de junio, la Fundación Nacional Batuta reportó 18.518 inscritos en los 132 centros musicales, quienes iniciaron procesos artísticos y culturales dentro del programa Sonidos de Esperanza.	
A la fecha se cuenta con 262.343 niños, niñas y jóvenes beneficiados por programas y procesos artísticos y culturales.</t>
  </si>
  <si>
    <t xml:space="preserve">A 30 de junio se están llevando a cabo las actividades de implementación en las 6 subregiones PDET programadas para 2022: Alto Patía - Norte del Cauca; Catatumbo; Chocó; Montes de María; Pacífico Frontera Nariñense y Pacífico Medio. Cumpliendo así con la meta establecida para el cuatrienio. 	  </t>
  </si>
  <si>
    <t xml:space="preserve">Con corte al mes de junio, se encuentran constituidas las Escuelas de Puerto Colombia y Puerto Tejada. Adicionalmente, se realizó la firma de constitución de la Escuela Taller de la Guajira, contando con los siguientes socios: MinCultura, Gobernación de la Guajira, Alcaldía Riohacha, Cámara de comercio de la Guajira y la Sociedad ANAKAA FILMS SAS en representación de la red de comunicación Wayuu.		
Contando a la fecha con 15 Escuelas Taller.  	 </t>
  </si>
  <si>
    <t>Con corte al mes de junio, se han creado los Talleres Escuela de Telón de boca con la Escuela Taller de Cali, y de Danzas y expresiones tradicionales con la Escuela Taller de Buenaventura. Las Escuelas Taller de Mompox, Boyacá y Quibdó se encuentran a la espera de la emisión de las de resoluciones, donde se relacionan los Talleres Escuela a desarrollar.</t>
  </si>
  <si>
    <t xml:space="preserve">Con corte a junio se finalizaron y se cuenta con concepto favorable por parte del Consejo Nacional de Patrimonio Cultural los PEMP:
1) Paisaje cultural fortificado de la bahía de Cartagena 
2) Agua de Dios. 
Así mismo, se encuentran en proceso de elaboración los siguientes PEMP: 
1) Cementerio Central de Bogotá. Avance 94%. 
2) Hacienda Piedragrande – Cali. En ajustes finales por parte de la consultoría. Avance 98% 
3)  Campo de Batalla del Pantano de Vargas y Monumento a los Lanceros de Rondón. Avance 62%
4) Centro Histórico de Guaduas. Avance 65%
A la fecha, 65 Bienes de Interés Cultura del ámbito nacional cuentan con Planes Especiales de Manejo y Protección - PEMP en el cuatrienio.	 Cumpliendo así con la meta establecida para el cuatrienio. 	 	 </t>
  </si>
  <si>
    <t xml:space="preserve">Con corte a junio se finalizó una intervención de un Bien de Interés Cultural del Ámbito Nacional: 
1) Restauración del conjunto de 70 vitrales de la Catedral Basílica de Manizales - Caldas.
2)Parque Grancolombiano en Villa del Rosario - Norte de Santander
3) Casa museo Quinta de Bolívar- Bogotá
Así mismo, se encuentran en ejecución las siguientes intervenciones: 
1) Casa Museo Rafael Núñez en ejecución 92%. 
2) Conservación en el cuartel de las Bóvedas y el Baluarte del reducto del castillo San Felipe en Cartagena de Indias en ejecución 72% 
3) Obras de Restauración Edificio Siberia, edificio mantenimiento 0% a la espera de las licencias de construcción
4) Reparaciones locativas casa Marroquí de la hacienda yerbabuena 0% en proceso de elaboración de pliegos
5) Edificio de ampliación de la Escuela Taller de Buenaventura, 92% 
Contando con 74 Bienes de Interés Cultural del ámbito nacional intervenidos en el cuatrienio	 
	 	 		   	</t>
  </si>
  <si>
    <t xml:space="preserve">Con corte 30 de junio del 2022 de la Estrategia Digital se reportó la siguiente información: MaguaRED contó con 32.063 usuarios que accedieron al portal. Maguaré tuvo 93.730 usuarios que accedieron a los contenidos digitales, para un total de 125.793 usuarios que accedieron durante el mes a los portales. Actualmente, se tiene un acumulado de 4.469.601.	</t>
  </si>
  <si>
    <t xml:space="preserve">Con corte a junio, se firmaron 2 agendas creativas en Armenia el 7 de junio de la presente vigencia y en Pereira el 8 de junio de 2022, para un total en la vigencia de 5 agendas creativas. 
A la fecha se han suscrito 17 Agendas Creativas en los siguientes territorios: Antioquia - Medellín, Atlántico - Barranquilla, Bogotá, Bolívar - Cartagena, Caldas - Manizales, Cauca - Popayán, Cesar - Valledupar, Huila - Neiva, Magdalena - Santa Marta, Meta - Villavicencio, Nariño - Pasto, Norte de Santander - Cúcuta, Quindío - Armenia, Risaralda - Pereira, Santander - Bucaramanga, Tolima - Ibagué, y Valle del Cauca - Cali. Cumpliendo así con la meta establecida para el cuatrienio.  </t>
  </si>
  <si>
    <t xml:space="preserve">Con corte al mes de junio, se delimitó el ADN del municipio de Popayán, contando a la fecha con 9 ADN delimitadas en la vigencia actual y un total de 96 ADN en 50 municipios del país delimitadas en el cuatrienio. 
Así mismo, se continúa con la asistencia técnica para la delimitación y activación de las ADN en los territorios, logrando un total de 24 ADN activadas en el país.	 </t>
  </si>
  <si>
    <t xml:space="preserve">Con corte 30 de junio, en el marco del Programa Infancia, Juventud y Medios, se inicio ejecución con la Universidad Autónoma de Occidente del contrato para implementar los diplomados en la regional de la zona pacífica y la modalidad virtual de cubrimiento nacional de las universidades que ejecutaran los diplomados regionales, en los que se espera contar con alrededor de 30 contenidos. También se apoyo la revisión técnica de las propuestas recibidas para las becas del Plan Nacional de Estímulos y la preselección de jurados inscritos en el Banco de jurados: Beca Audiovisual dirigidos a infancias con discapacidad auditiva, Beca Serie audiovisual juvenil para creadores afrocolombianos y Beca Serie audiovisual para audiencias infantiles. De Territorios en Diálogo se ha realizado la revisión técnica de las propuestas recibidas para las 9 Becas de comunicación y territorios del PNE desde donde se reportarán contenidos; así mismo se ha realizado planeación de la estrategia y procesos administrativos para realizar la estrategia Laboratorios Convergentes SOMOS TERRITORIO la cual abrió la convocatoria el pasado 23 de junio buscando convocar a realizadores de contenidos de las regiones de Catatumbo y Magdalena Medio quienes desarrollarán 20 contenidos convergentes. La convocatoria estará abierta hasta el 8 de julio. La estrategia de Narrativas Sonoras apoyó la divulgación de las becas de Estímulos para la producción Franjas de Radios Ciudadanas, Narrativas sonoras de la Colombia rural, Becas para podcast. En la estrategia de Narrativas Audiovisuales se apoyó el proceso de revisión técnica y la selección de jurados con perfiles idóneos para las Becas de Mujeres Creadoras, Becas de Jóvenes Creadores y Becas de Dispositivos Móviles.
A la fecha se han creado 941 contenidos audiovisuales culturales en el cuatrienio.	 </t>
  </si>
  <si>
    <t xml:space="preserve">Con corte a junio de 2022, se ha finalizado 16 adecuaciones y/o dotaciones de infraestructura cultural así: 1 teatro dotado en la Ceja – Antioquia, 1 Casa de cultura construida en Sácama - Casanare y 14 salas de danza en: Milán – Caquetá, Titiribí – Antioquia, Espinal – Tolima, Rio Frio – Valle del Cauca, Cocorná-Antioquia, San Francisco-Antioquia, San Vicente del Caguán – Antioquia, Ibagué -Tolima y Puerres – Nariño, Belén de los Adaquies – Caquetá, Panqueba- Boyacá, Toledo – Norte de Santander, Facatativá - Cundinamarca y Somondoco - Boyacá. 
Así mismo, se adelanta la construcción, mantenimiento, dotación y adecuación de 28 infraestructuras Culturales: 
-Bibliotecas en construcción: 5 en Yuto, Tadó, Kamentza Inga, Roberto Payán y Macanal. 
-Bibliotecas en ejecución en el marco del convenio con la Embajada de Japón: 3 en San Lorenzo - Nariño, Santo Domingo - Antioquia y La Palma - Cundinamarca. 
-Bibliotecas en adecuación: 1 en Buenaventura - Valle del Cauca. 
-Casa de Cultura en construcción: 5 en Cajamarca, Resguardo Yarinal, Tausa, Istmina y Campo hermoso. 
-Casa de Cultura en adecuación: 2 en ejecución Buenaventura - Valle del Cauca y Gomez Plata - Antioquia. 
-Escuela de música en construcción: 1 en Ciudad Bolívar, Antioquia. 
-Teatros en Construcción: 3 en Quibdó-Choco; Támesis – Antioquia y Carmen de Viboral - Antioquia. 
-Teatrino y sede administrativa de complejo Cultural en construcción: 1 en ejecución Buenaventura - Valle del Cauca. 
-Salas de danza en dotación: 7 en ejecución, en el territorio nacional. 
El indicador presenta un avance de 134 infraestructuras construidas, adecuadas y/o dotadas, cumpliendo y sobrepasando la meta establecida para el cuatrienio. 
 </t>
  </si>
  <si>
    <t xml:space="preserve">A junio 30 de 2022, no se han otorgado estímulos, la convocatoria se encuentra en la fase de evaluación y deliveración. 
A la fecha se han otorgado 6.993 estímulos en el cuatrienio, en todo el territorio nacional.	</t>
  </si>
  <si>
    <t xml:space="preserve">A junio de 2022, se han apoyado a través del Programa Nacional de Concertación Cultural 2.724 proyectos artísticos y culturales, así: 
A. 2.662 por convocatoria pública en las líneas de acción: 
L1- Lectura, escritura y oralidad “Leer es mi cuento” 87
L2-Festivales, Fiestas y Carnavales 873 
L3-Fortalecimiento y dinamización de procesos artísticos, patrimoniales y culturales 214 
L4-Programas de formación artística, patrimonial, cultural, presenciales, semipresenciales y/o virtuales 1106
L5-Investigación, fortalecimiento organizacional y circulación para las artes, el patrimonio cultural y la economía naranja 68
L6-Circulación artística a escala nacional 104 
L7-Fortalecimiento cultural a contextos poblacionales específicos 146 
L8-Prácticas culturales de la población con discapacidad 64 
B. 62 proyectos, en: 
Antioquia 2 
Bogotá, D.C. 5; 
Bolívar 4
Caldas 4
Caquetá 1 
Cauca 2 
Cesar 1 
Chocó 6 
Cundinamarca 1
Nariño 2 
Risaralda 1 
Santander 1 
Tolima 2 
Valle del Cauca 30 
Para un total de 2.724 en 2022 y un acumulado de 13.098 en el cuatrienio acumulado en el cuatrienio.	 </t>
  </si>
  <si>
    <t xml:space="preserve">Durante el mes de junio la Estrategia Nacional de Exposiciones Itinerantes estuvo presente en dos ciudades del territorio nacional con exposiciones itinerantes del Museo Nacional de Colombia y los contenidos virtuales de los museos Colonial, Santa Clara, Museo de la Independencia y Quinta de Bolívar. En la ciudad Armenia (Museo MAQUI), se exhibió la exposición Hitos de Libertad, la gente negra desde el museo de todos los colombianos. Por su parte, en Montería, se dio apertura a la exposición 1819, un año significativo en el Centro Cultural del Banco de la República. 
El reporte total de beneficiarios para el mes de junio es de 361 personas. Con lo anterior se cumple la meta establecida para la vigencia, contando a la fecha con 34 exposiciones itinerantes realizadas. 
 </t>
  </si>
  <si>
    <t xml:space="preserve">Con corte a junio, se realizaron los ajustes pertinentes a los documentos de CONPES y PAS de Economía Naranja para aprobación por parte del Grupo CONPES. Se aprobó el Documento CONPES 4090 de 2022 sobre política culturales para incentivar la Economía de la Cultura y Creativa en Colombia.	 </t>
  </si>
  <si>
    <t xml:space="preserve">Con corte a junio, se han realizado los siguientes avances: la medición de la Cuenta Satélite de Cultura y Economía Naranja abarca todos los subsectores de la Economía Naranja desde 2019. En este sentido, la última publicación con resultados de 2020 arrojó el comportamiento de los 14 subsectores de la Economía Naranja y la publicación de la medición del 2021 se hará aproximadamente en el mes de julio de 2022.	 </t>
  </si>
  <si>
    <t xml:space="preserve">Con corte a junio, se realizaron las siguientes acciones: 1. Elaboración de Agendas creativas. i. Un total de 2 Agendas Creativas están listas para surtir la etapa 7 de suscripción: Buenaventura y Cundinamarca. ii. En 2022 se han firmado 5 Agendas Creativas: Cúcuta (26 de enero), Villavicencio (19 de mayo), Neiva (20 de mayo), Armenia (7 de junio) y Pereira (8 de junio). Así mismo se hace el seguimiento a los 184 proyectos inscritos en las 19 agendas creativas, con reporte de recursos movilizados a 30 de junio por un monto de $669.047.621.484. De las 19 agendas en desarrollo, 17 han sido suscritas. 2. Apoyo en implementación de proyectos de agendas 2019 -2021. En el marco de la Oferta Institucional de la Dirección de Estrategia, Desarrollo y Emprendimiento, se siguen los lineamientos 2022 para acompañar el fortalecimiento de las Agendas Creativas territoriales, en materia de formulación, identificación y gestión de fuentes de financiación y seguimiento a proyectos, así como de otros proyectos potenciales de gran impacto para el respectivo territorio. 3. Asistencia técnica y acompañamiento a los 34 Nodos en fortalecimiento institucional y Economía Naranja en los siguientes temas: Se está consolidando en cada territorio, de acuerdo con sus características y requerimientos, los distintos productos ofrecidos por la Dirección de Estrategia, Desarrollo y Emprendimiento para: i. la institucionalidad con: Modelo de Gobernanza – inicio de fase 1, ADNs, Observatorios, Asistencia Técnica y Mapeo; y para ii. los emprendedores con herramientas de: formación, beneficios tributarios, Asistencia Técnica y Modelo de Emprendimiento Cultural. Todo ello, a partir de la articulación de actores de la cuádruple hélice: sociedad civil, sector público, sector privado y academia, que constituyen cada Nodo.	 </t>
  </si>
  <si>
    <t xml:space="preserve">Con corte a junio se realizó la entrega del segundo informe técnico para la realización del segundo desembolso del convenio. Se realizó aprobación del contenido temático de la estrategia de acompañamiento, se realizaron los planes de mercado con cada uno de los colectivos. Se está realizando la formación del MOOC de liderazgo de colectivos y se está realizando gestión con posibles aliados para revisar si se puede desarrollar la rueda de negocios presencial. Beneficio para 25 colectivos de mujeres.	 </t>
  </si>
  <si>
    <t xml:space="preserve">Con corte a junio, se contactaron agentes territoriales de las 4 hélices para acercar la oferta del Curso Colombia Crea Valor y fomentar el uso de la plataforma del Curso logrando, durante la vigencia del mes y con corte a 29 de junio, un registro y usabilidad por parte de 2.410 usuarios, lo que representa un incremento de 985 usuarios del MOOC de Economía Naranja. La estrategia incluyó durante el tiempo de operación llegar a un total de 506 contactados del ecosistema de los territorios (universidades, instituciones públicas, privadas). Adicionalmente, se logró agenciar acuerdos con Ministerio del Interior y SENA para promover el curso entre su público de interés. También, se obtuvo copia de curso sin requerimiento de conexión para territorios con baja conectividad, por lo que durante la vigencia de este informe se proyectó un primer borrador de Licencia de Uso del Material en los casos en los que sea entregado a las instituciones, este documento debe cursar el trámite de observaciones por parte de la oficina de convenios y contratos del Ministerio.	 </t>
  </si>
  <si>
    <t xml:space="preserve">Con corte a junio, se obtuvieron los siguientes avances: 1. DECRETO 286 DE 2020: Se beneficiaron 57 nuevas empresas en el mes y el acumulado se mantiene en 1103 empresas beneficiarias. 2.Durante el mes de junio de 2022, CoCrea reporto 6 proyecto avalados. El acumulado de la convocatoria 2020 y 2021 corresponde a 691 proyectos avalados. 3. Se han expedido un total de 93 CIDS (3 en junio) correspondientes a 54 proyectos de economía creativa con un valor total de aportes de $ 20.494.524.405, un beneficio tributario correspondiente al 165% de $33.815.965.268 y un valor total de los proyectos de $33.815.965.268. 4. CERTIFICADOS DE INVERSIÓN NACIONAL (CINA) – Decreto 474-2020: En 2022 se han aprobado 21 proyectos (5 en junio) con una inversión en Colombia de $379.832.309.031, una contraprestación de $111.389.358.862 y la generación de 2.750 empleos directos. Para junio se tienen 71 y se acumula con lo reportado en el período anterior para un total de 381.	 </t>
  </si>
  <si>
    <t xml:space="preserve">Durante el mes de junio de 2022, la Estrategia Regional realizó una visita de asesoría y acompañamiento técnico a una entidad territorial encaminada a fortalecer funcionamiento de la biblioteca pública municipal. Así mismo se realizó la segunda fase de visitas de acompañamiento y asesoría técnica a las bibliotecas públicas de 24 entidades territoriales, a través de esta visita las entidades territoriales y la biblioteca publica recibieron asesoría para el fortalecimiento de los proyectos bibliotecarios rurales implementados en el marco del PNBI 2022.	 </t>
  </si>
  <si>
    <t xml:space="preserve">A 30 de junio se inaugura el 46 Salón Nacional de Artistas. Hasta el momento se han inaugurado dos exposiciones del componente de circulación, en Neiva y Barrancabermeja. Igualmente diversos laboratorios de formación, talleres de mediación. Por otro lado, desde el componente de difusión del Salón se está desarrollando un programa de publiaciones para circulación en los muncipios de la cuenca del río Magdalena.El salón beneficia los municipios de: Laguna de la Magdalena (Cauca, Huila) San Agustín, Garzón–La Jagua, Neiva (Huila). El Espinal, Ibagué, Ambalema, Mariquita, Honda (Tolima). La Dorada. (Caldas). Puerto Salgar, Girardot (Cundinamarca). Bogotá. Puerto Triunfo, Puerto Berrío (Antioquia). Puerto Boyacá (Boyacá). Barrancabermeja, Puerto Wilches (Santander). Gamarra (Cesar). El Banco, Plato (Magdalena). Mompox (Bolívar). Barranquilla, Suan (Atlántico).	 </t>
  </si>
  <si>
    <t xml:space="preserve">A 30 de junio se ha realizado la divulgación de obras de la siguiente forma: 210 obras artisitcas como resultado de la convocatoria de Comparte lo que Somos en redes sociales y YouTube. 5 Obras a través de medios virtuales 43 obras en Neiva y Barrancabermeja como parte del Salón Nacional de Artistas y de las acciones del área de Artes Visuales. El Salón vincula unos 145 artistas de todo el país y a través de un proceso itinerante, se llega a más de 25 Municipios de 13 departamentos. Mayor información se encuentra en el sitio web: https://artesvisuales.mincultura.gov.co/sna46/	 </t>
  </si>
  <si>
    <t xml:space="preserve">A 30 de junio, se han distribuido 1.462 ejemplares de la colección "Historias de la Historia de Colombia", integrada es esta vigencia por los títulos “Las mujeres de la independencia” escrito por Catalina Navas y “Reminiscencias de Santa Fe de Bogotá” del autor José María Cordovez Moure. Durante la Feria internacional del Libro de Bogotá se llegó a unas 1.100 personas que participaron de las actividades del stand del Ministerio de Cultura. Existen dificultades frente al avance de la meta, toda vez que la imprenta Nacional manifestó que no pudo avanzar con la impresión y distribución de la serie por la crisis de escasez de papel que existe a nivel mundial.	 </t>
  </si>
  <si>
    <t xml:space="preserve">La Dirección de Fomento Regional asesora 1000 municipios, 31 ciudades capitales y 32 departamentos al año para realizar asistencia técnica a la institucionalidad cultural, gestores culturales y consejos de cultura en temas relacionados con planeación, formulación de proyectos, financiación y participación ciudadana. Desde agosto de 2018 hasta el 30 de junio de 2022 se han asesorado 1134 departamentos y municipios para un avance del 100% acumulado (línea base cuatrienio), para poder cumplir con el objetivo propuesto del 2022, se asesoraron 21 municipios nuevos. Hasta el 30 de junio de 2022 se han asesorado y asistido técnicamente 511 municipios del territorio nacional.	 </t>
  </si>
  <si>
    <t xml:space="preserve">A 30 de junio de 2022, 787 municipios y 23 departamentos han girado a Colpensiones la suma de $299.410 millones de pesos, para asignar a 11.545 creadores y gestores culturales los beneficios de anualidad vitalicia (10.565) y financiación de aportes al servicio social complementario de BEPS (980). En 2022 a 30 de junio, 134 municipios y 4 departamentos, han girado a Colpensiones la suma de $31.291 millones de pesos para asignar a 1.046 creadores y gestores culturales los beneficios de anualidad vitalicia (876) y financiación de aportes al servicio social complementario de BEPS (170).	  </t>
  </si>
  <si>
    <t xml:space="preserve">Entre el mes de agosto de 2018 y el mes de junio de 2022 fueron aprobados 174 proyectos ante el Sistema General de Regalías – SGR. El monto total de inversión de estos proyectos asciende a $ 553.368 mil millones de pesos en 27 departamentos: Antioquia, Arauca, Atlántico, Bolívar, Boyacá, Caldas, Caquetá, Casanare, Cauca, Cesar, Chocó, Córdoba, Cundinamarca, Huila, La Guajira, Magdalena, Meta, Nariño, Putumayo, Quindío, Risaralda, San Andrés, Santander, Sucre, Tolima, Valle del Cauca y Vichada. Durante el periodo comprendido entre el mes de agosto de 2018 y diciembre de 2021, se aprobaron 160 proyectos por un valor que asciende a $529.722 mil millones de pesos. De estos, está pendiente por migrar 2 proyectos a la base de datos Gesproy-DNP por un valor de $3.896 millones de pesos. En 2022 han sido aprobados 14 proyectos, en 10 departamentos: Antioquia, Boyacá, Cauca, Caquetá, Cauca, Cundinamarca, Huila, Meta, Valle del Cauca y Vichada por un valor de $ 23.646 millones de pesos.	 </t>
  </si>
  <si>
    <t xml:space="preserve">Durante el mes de Junio se desarrollaron las siguientes actividades. 1. Se consolido el equipo a contratar para el proyecto "Ruta de Oficios tradicionales asociado a las Escuelas taller" y se realizó el proceso de contratación de las 2 administradoras turísticas y los 12 gestores culturales por parte de la Escuela Taller de Barichara. 2. El 28 de junio se dio inicio al proyecto con la primera reunión donde se presentó el equipo de trabajo, los contenidos de capacitaciones y el cronograma del proyecto para los 5 meses. 3. Se realizaron las presentaciones y documentos técnicos, reuniones de trabajo, necesarios para el desarrollo del proyecto.	 </t>
  </si>
  <si>
    <t xml:space="preserve">Con corte a junio se inscribio en la LICBIC el paisaje cultural vichero y el pasisaje cultural fortificado de la bahía de Cartagena. Así mismo, se encuentran en proceso para su inclusión en la LICBIC: 1) Jardín Histórico de la Casa Museo Quinta de Bolívar, Bogotá. 2) Caminos patrimoniales de Santander. 3) Palacio Tayrona o Gobernación de Santa Marta 4) Puente Grande, Bogotá. 5) Parque de La Independencia, Bogotá. 6) Iglesia de San Lázaro, Tunja. 7) Obra del maestro Rogelio Salmona. 8) Arquitectura tradicional palafítica y saberes asociados a la madera. 9) Parque de la Sociedad de Mejoras Públicas de Bucaramanga, Santander. 10) Lugares asociados a la memoria y conciencia en afro Villa del Rosario, Norte de Santander. 11) Construcciones en tabla parada en el municipio de Murillo, Tolima. </t>
  </si>
  <si>
    <t xml:space="preserve">Con corte a junio se sumó a la Lista Representativa del Patrimonio Cultural Inmaterial del ámbito nacional el Plan Especial de Salvaguardia: Trenzado en Caña Flecha, prácticas y conocimientos ancestrales artesanales de la identidad Zenú. </t>
  </si>
  <si>
    <t>Con corte a junio, se realizó gestión con la Escuela Taller Naranja con el fin de fortalecer la unidad de negocio instalada en el Castillo de San felipe de Barajas y en las que se instalarán en la Casa de Bolívar, ambas en la ciudad de Cartagena de Indias para dar continuidad en el acompañamiento al procesos de unidades de negocio. Dando así por cumplido el compromiso del indicador.</t>
  </si>
  <si>
    <t xml:space="preserve">Con corte al mes de junio el Plan decenal de Lenguas Nativas de Colombia se encuentra concertado y protocolizado desde el 18 de diciembre de 2022 en el capítulo indígena y el capitulo de las lenguas criollas desde el 1 de diciembre de 2021. Adicionalmente publicaron 300 ejemplares del documento del Plan Decenal de Lenguas Nativas, que contiene tres capitulos, los cuales son: Capitulo Indígena, Capitulo de lenguas Criollas y capitulo de la Lengua Romanés. Se promulgó la resolución 063 de 2022, que adopta el Plan Decenal de Lenguas Nativas, y se encuentra elaborado el Plan de difusión del Plan Decenal de Lenguas Nativas de Colombia. En cuanto al proceso de sensibilización del Plan, se ha avanzado haciendo entrega de los ejemplares de la publicación a organizaciones indígenas del pueblo inga, los Ministerios de Educación, Instituto Caro y Cuervo, CONCETPI, la alta directiva del Ministerio de Cultura, Ministerio de Educación, Ministerio de las Tics, ICBF; Mesa Regional Amazónica MRA; Autoridades Indígenas de contexto de la ciudad de Cali. Organización Indígena del Pueblo Inga AWAI. Se realizarán 3 pilotos de articulación en el segundo semestre de 2022, Vaupés; Chorrera Amazonas y Caquetá a través de una ruta de articulación y asistencia técnica que se pretende se desarrollé de manera intersectorial.	 </t>
  </si>
  <si>
    <t xml:space="preserve">Con corte al mes de junio, se ha avanzado en el proceso de revisión de 8 propuestas presentadas por las organizaciones, las cuales se desarrollarán, en el marco de la atención a las diferentes órdenes judiciales, las mismas se llevaron con los líderes de manera concertada en atención a las comunidades priorizadas para ejecutar y suscribir los diferentes contratos; esto con la revisión de las propuestas a desarrollar en la vigencia 2022, de igual manera de remitieron correos electrónicos con los parámetros mínimos para desarrollar dentro de la propuesta. Con estas acciones se ha avanzado en un 19% de la meta.	 </t>
  </si>
  <si>
    <t xml:space="preserve">Meta cumplida en 2020, sin embargo, se continúa realizando acciones del programa así: Con corte al mes de junio, se realizó lanzamiento de Biblioteca Mujeres Narran su Territorio, en el marco de la Feria del Libro de Bogotá. 15 mujeres provenientes de Bucaramanga, Cali, buenaventura, San Andrés y Bogotá, hicieron parte del encuentro de narradoras y en los conversatorios que se realizaron en la FILBO. 120 asistentes al lanzamiento de la Biblioteca tuvieron la oportunidad de escuchar de viva voz los relatos de estas mujeres. Se promedia que mas de 400 personas de las visitantes a la FILBO conocieron el programa y los relatos de las mujeres	 </t>
  </si>
  <si>
    <t xml:space="preserve">Con corte 30 de junio, se suscribio el Convenio 0573 de 2022 con Proimágenes Colombia. En el marco del convenio se entregaron 63 maletas en 58 municipios dirigidas a organizaciones indígenas, asociaciones y oficinas de cultura, colectivos sonoros y redes de bibliotecas, establecimientos penitenciarios del INPEC, espacios territoriales de capacitación y reincorporación de la Agencia para la Reincorporación y Normalización - ARN, ANAFE con muestras, festivales y vigías del patrimonio, seccionales de la Universidad de Antioquia, y secretarias departamentales. Se han realizado jornadas de socialización con la Red Nacional de Bibliotecas Públicas, el encuentro de experiencias y usos de la maleta con beneficiarios de la misma donde se realizó el lanzamiento del micrositio de la maleta.	 	</t>
  </si>
  <si>
    <t xml:space="preserve">Con corte a 30 de junio se registraron un total de 347.297 visitas de usuarios a la plataforma (en la presente vigencia) . En su acumulado, hasta diciembre de 2021 Retina Latina logró un total de 4.705.915 visitas que sumadas con las 347.297 visitas acumuladas en 2022 da un total de 5.053.212. En lo corrido de 2022 esta meta registró un avance del 34.94%.	 </t>
  </si>
  <si>
    <t xml:space="preserve">Durante el mes de junio se evidencia que los 7 proyectos plasmados en el tablero de control de la Consejería Presidencial para Asuntos Económicos, y Transformación Digital, se encuentran finalizados satisfactoriamente según el alcance definido y no se ha presentado modificación alguna. Sin embargo, el Portal Publico de Economía tuvo mejoras correspondientes al rediseño del "home" o página de inicio, y fueron modificados los Banner, disminuyendo el número de Módulos en el Portal con lo gran se aumentó el tráfico de visitas al sitio. Así mismo se realizó el ajuste y despliegue en producción para habilitar el módulo de Rentas exentas en el perfil Director CID.	 </t>
  </si>
  <si>
    <t xml:space="preserve">Con corte a 30 de junio de 2022 se hizo la unificación de inventarios documentales como instrumento archivístico que facilita la ubicación, consulta y acceso a la información, el avance de los inventarios se encuentra en AZ Digital. Igualmente se efectuaron inventarios de eliminación documental, tanto de eliminación de documentos de apoyo, como de documentos a eliminar por TRD que se encuentran en el Archivo Central.	 </t>
  </si>
  <si>
    <t xml:space="preserve">Con corte a Junio, con una apropiación de $ 501.917.665.651 para el año 2022, se realizó un 82% de CDPS, el 63% Compromisos, un 33% Obligado y un 32% de pagos, desde el 1 Enero al 30 de Junio del 2022 de acuerdo con lo enviado por las dependencias de su ejecución mensual de esta vigencia.	 </t>
  </si>
  <si>
    <t xml:space="preserve">A junio de 2022 se ha ejecutado el 44% del PIC, correspondiente a un total de 34 actividades desarrolladas de las 78 programadas. En este periodo se llevó a cabo la planeación y desarrollo de las siguientes actividades de capacitación: 1.Prevención de consumo de sustancias psicoactivas. 2. Teams y Outlook (PAES). 3. Identificación de riesgos de gestión y corrupción. 4. Masculinidades Alternativas - violencia de genero. 5. Relaciones Igualitarias. 6. Hablemos de Economía Naranja. 7. Procedimiento contractual sancionatorio. 8. Lavado de manos y técnicas para superar el estrés	 </t>
  </si>
  <si>
    <t xml:space="preserve">En el mes de junio de 2022, el nivel de satisfacción de las actividades realizadas fue el siguiente: Capacitación prevención en el consumo de sustancias psicoactivas 90.8%, capacitación Teams y Outlook 93.2%, capacitación identificación de riesgos de gestión y corrupción 97.4%, capacitación masculinidades alternativas 98%, capacitación relaciones igualitarias 98.4%, charla hablemos de Economía Naranja 99.4%, capacitación proceso contractual sancionatorio 99.8%. Para un promedio total de 96,6%, a la fecha.	  </t>
  </si>
  <si>
    <t xml:space="preserve">Durante el mes de junio se gestionaron recursos de cooperación internacional por valor de $158.496.836, para un acumulado a la fecha de $26.765.867.106, lo que representa un avance del 267,66% frente a la meta establecida para la vigencia 2022.	 </t>
  </si>
  <si>
    <t xml:space="preserve">En el mes de Junio se presentaron los siguientes espectáculos en el escenario principal del Teatro Colón: Concierto Liszt y Bartok, de la orquesta sinfónica Nacional de Colombia, el 3 de junio. Concierto Sheherezade, de la Orquesta Sinfónica Nacional de Colombia, el 9 de junio Concierto del Attaca Quartet con la Orquesta Sinfónica Nacional de Colombia, el 16 de junio. En la Franja Colón Digital se emitió: 'Manú o la ilusión del tiempo' de la Casa del Silencio en Festival Internacional de Artes Performativas de Busean, del 10 al 19 de junio"	 </t>
  </si>
  <si>
    <t xml:space="preserve">A junio 30 de 2022, ya se seleccionaron pero no se ha iniciado el seguimiento a los 533 proyectos que corresponden al 20% de lo 2.662 proyectos apoyados en la convocatoria 2022.	 </t>
  </si>
  <si>
    <t xml:space="preserve">Durante el mes de Junio de 2022, no se otorgaron estímulos en la modalidad de becas a proyectos artísticos y culturales que participaron en el Programa Nacional de Estímulos 2022. El avance cualitativo en lo corrido del cuatrienio, es de 6.993 estímulos otorgados en todo el territorio nacional.		 </t>
  </si>
  <si>
    <t xml:space="preserve">En junio se sostuvieron reuniones con el Fondo Mixto para la Promoción del Deporte, el Desarrollo Integral y la Gestión Social del Valle y el consorcio que ejecuta los contratos para los diseños arquitectónicos y de reforzamiento del edificio de La Licorera, sede del Museo Afro. El trabajo de coordinación requirió un contacto frecuente con diversas instituciones y líderes culturales de los municipios de Tumaco y Barbacoas (Nariño); Villanueva y Monterrey (Casanare); Quibdó, Nóvita y Acandí (Chocó); y Turbo, Chigorodó y Acandí (Antioquia) donde se realizaron grupos focales, talleres y entrevistas en los municipios de Tumaco, Barbacoas, Villanueva, Monterrey, Quibdó, Nóvita, Turbo, Chigorodó y Acandí. Se realizó la convocatoria, revisión de hojas de vida y entrevistas para la selección del museólogo del Proyecto. Se sigue trabajando con representantes de la organización ACDI/VOCA para la concreción de actividades para el Museo Afro en el marco del Programa de Empoderamiento de Pueblos Indígenas y Afro que vincula a la Asociación de Museos Afro de EEUU y se sostuvieron reuniones para explorar trabajo conjunto con el Enlace poblacional del sector cultura, recreación y deporte de la Alcaldía de Bogotá y la Dirección de Programación Cultural de FILBO Bogotá para explorar posibilidades de cooperación. El 14 de junio se reunió el comité técnico del Proyecto.	 </t>
  </si>
  <si>
    <t xml:space="preserve">Durante el mes de junio se arreglo el techo de Fragmentos, se lavaron los tanques de agua de Fragmentos, se hizo mantenimiento a baños publico del Museo Nacional, se hizo mantenimiento a jardines exteriores, interiores y fuentes, se limpiaron techos y destaparón canales, se instalaron y desinatalaron pendones y se mantuvieron las oficinas y salas de exposicion en adecuadas condiciones.	 	 </t>
  </si>
  <si>
    <t xml:space="preserve">A 30 de junio se han ejecutado las actividades previstas en los planes de conservación que componen el SICRE 2022 correspondientes a los meses de Enero a Junio, tanto con las colecciones propias de los museos como con aquellas recibidas en préstamo para exposiciones temporales y permanentes. La implementación del SICRE cubre los distintos espacios que contienen obras de los museos: además de las salas de exposición, se incluyen los espacios donde se guardan las colecciones en reserva, así como el seguimiento de condiciones de aquellas obras entregadas en calidad de préstamo a otras entidades.	  </t>
  </si>
  <si>
    <t>Para el periodo comprendido entre el 01 y el 30 de junio del 2022, por parte del grupo desde asuntos legislativos del despacho, se reportan 97 proyectos de ley 52 al Senado y 45 a la Cámara de Representantes; de los cuales 1 ha sido conceptualizado por el Ministerio de Cultura.</t>
  </si>
  <si>
    <t xml:space="preserve">Para el periodo comprendido entre el 1 y 30 de junio de 2022 el coordinador del grupo de defensa judicial reportó 3 fallos, siendo los 3 favorables en primera instancia a los intereses del Ministerio.	 </t>
  </si>
  <si>
    <t xml:space="preserve">Para el periodo de junio de 2022, no se ha presentado el proyecto de modificación de la ley del sector cultura.	  </t>
  </si>
  <si>
    <t xml:space="preserve">A corte 30 de junio en el marco de la dimensión de gestión del conocimiento y la innovación se realizó el documento preliminar para la identificación y socialización de buenas prácticas y lecciones aprendidas. Adicionalmente de acuerdo a la dimensión gestión con valores para el resultado se realizó la publicación del cronograma de participación ciudadana.	 </t>
  </si>
  <si>
    <t xml:space="preserve">A corte del 30 de junio se realizó la actualización de la declaración de aplicabilidad del Subsistema de Gestión de Seguridad de la Información. Además del bloqueo de IP de comand Control en dispositivos perimetrales y remediación a vulnerabilidades del informe enviado por MINTIC. Desde el SGA se creó la matriz de identificación y valoración de aspectos e impactos ambientales (MIVAIA) del proceso de Fomento y Estímulos. Con este ejercicio, se consolidó y actualizó la matriz ambiental del Ministerio de Cultura, la cual se socializó mediante correo electrónico institucional con los resultados del ejercicio de identificación y valoración de aspectos e impactos ambientales de la entidad. Adicionalmente, se socializó a los directores, administrativos, gestores y monitores de los museos, los temas sobre la estructura del Subsistema de Gestión Ambiental del Ministerio de Cultura y los programas de gestión ambiental para la vigencia 2022. Por otra parte, se realizó sensibilización ambiental mediante la elaboración de la pieza gráfica en conmemoración del "Día Mundial del Ambiente" (05 de junio). Además, se desarrolló el taller de jardinería urbana (23 de junio) en la Biblioteca Nacional de Colombia con el apoyo del Jardín Botánico de Bogotá, en el marco de la conmemoración del Día Mundial del árbol. Desde el SGC se trabajó en la consecución de los insumos para la elaboración del documento Revisión por la Dirección junio 2021-junio 2022.	 </t>
  </si>
  <si>
    <t xml:space="preserve">Con corte a junio la Oficina Asesora de Planeación se encuentra realizando el seguimiento en el SIG II al Plan Estratégico Institucional, para con ello garantizar la integridad de la información, así como el envío de un correo informativo mensual a las dependencias dando a conocer las fechas de corte del sistema para el registro de los avances a los Indicadores del Plan, y la revisión por la Oficina Asesora de Planeación de los mismos mes a mes, que beneficia a todas las dependencia del Ministerio.	 </t>
  </si>
  <si>
    <t xml:space="preserve">Con corte a 30 de junio, se realizó una capacitación de riesgos el pasado 13 de junio, en coordinación con el grupo de Gestión Humana, para los servidores públicos, contratistas y colaboradores del Ministerio de Cultura, de igual manera se realizó se realizó la creación y divulgación interna de piezas gráficas, por medio de correo electrónico de la Política de Transparencia y Acceso a la Información Pública.	 </t>
  </si>
  <si>
    <t xml:space="preserve">Con corte al cierre del mes de junio, aun no se registra avance en la meta de reducción de gasto de austeridad, una vez que el acumulado del cierre del mes es de un total comprometido de $6.262.261.978,74, obligaciones por $1.183.617.027,03 y ordenes de pago por $ 1.119.930.774,71; frente a un total acumulado de compromisos del año 2021 por valor de $ $ 12.361.777.140,28	 </t>
  </si>
  <si>
    <t xml:space="preserve">Con corte a 30 de junio de 2022 se adelantó el 100% de las auditorías internas de calidad y se hicieron reuniones presenciales y virtuales para evaluar la implementación de las políticas de MIPG, de acuerdo con la auditoría combinada al Sistema Integrado de Gestión Institucional y MIPG, así mismo, se dio apertura a las auditorías de Contratos y al Subproceso de Gestión de Audiovisuales, Cine y Medios Interactivos, en donde además se evaluaron los indicadores del Plan Estratégico Institucional del proceso. Finalmente, se enviaron los informes de Austeridad en el Gasto, primer trimestre de 2022 y resultados de la verificación de cumplimiento de obligaciones en el sistema Ekogui, segundo semestre de 2021.	 </t>
  </si>
  <si>
    <t xml:space="preserve">Al cierre de junio: Se han realizado un total acumulado de 23 actividades culturales, teniendo registradas en el mes de junio las siguientes: Conciertos en vivo: Tres (3) conciertos en el Teatro Colón de Bogotá, 3,9 y 16 de junio.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</si>
</sst>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80A]General"/>
    <numFmt numFmtId="165" formatCode="[$-80A]#,##0"/>
    <numFmt numFmtId="166" formatCode="[$-80A]0%"/>
    <numFmt numFmtId="167" formatCode="&quot; &quot;#,##0.00&quot; &quot;;&quot; (&quot;#,##0.00&quot;)&quot;;&quot; -&quot;00&quot; &quot;;&quot; &quot;@&quot; &quot;"/>
    <numFmt numFmtId="168" formatCode="&quot; &quot;#,##0&quot; &quot;;&quot; (&quot;#,##0&quot;)&quot;;&quot; -&quot;00&quot; &quot;;&quot; &quot;@&quot; &quot;"/>
    <numFmt numFmtId="169" formatCode="0.0"/>
    <numFmt numFmtId="170" formatCode="&quot; &quot;#,##0.00&quot; &quot;;&quot; (&quot;#,##0.00&quot;)&quot;;&quot; -&quot;#&quot; &quot;;&quot; &quot;@&quot; &quot;"/>
    <numFmt numFmtId="171" formatCode="&quot; &quot;#,##0&quot; &quot;;&quot; (&quot;#,##0&quot;)&quot;;&quot; -&quot;#&quot; &quot;;&quot; &quot;@&quot; &quot;"/>
    <numFmt numFmtId="172" formatCode="[$-80A]0"/>
    <numFmt numFmtId="173" formatCode="0.0%"/>
    <numFmt numFmtId="174" formatCode="[$-80A]0.0%"/>
    <numFmt numFmtId="175" formatCode="&quot;$&quot;#,##0.00;[Red]\-&quot;$&quot;#,##0.00"/>
    <numFmt numFmtId="176" formatCode="&quot; $&quot;#,##0&quot; &quot;;&quot;-$&quot;#,##0&quot; &quot;;&quot; $- &quot;;&quot; &quot;@&quot; &quot;"/>
    <numFmt numFmtId="177" formatCode="&quot; $ &quot;#,##0.00&quot; &quot;;&quot; $ (&quot;#,##0.00&quot;)&quot;;&quot; $ -&quot;#&quot; &quot;;&quot; &quot;@&quot; &quot;"/>
    <numFmt numFmtId="178" formatCode="&quot; $ &quot;#,##0&quot; &quot;;&quot; $ (&quot;#,##0&quot;)&quot;;&quot; $ - &quot;;&quot; &quot;@&quot; &quot;"/>
    <numFmt numFmtId="179" formatCode="&quot; &quot;&quot;$&quot;&quot; &quot;#,##0.00&quot; &quot;;&quot; &quot;&quot;$&quot;&quot; (&quot;#,##0.00&quot;)&quot;;&quot; &quot;&quot;$&quot;&quot; -&quot;00&quot; &quot;;&quot; &quot;@&quot; &quot;"/>
    <numFmt numFmtId="180" formatCode="&quot; &quot;#,##0&quot; &quot;;&quot;-&quot;#,##0&quot; &quot;;&quot; - &quot;;&quot; &quot;@&quot; &quot;"/>
    <numFmt numFmtId="181" formatCode="&quot; &quot;#,##0.00&quot; &quot;;&quot;-&quot;#,##0.00&quot; &quot;;&quot; -&quot;#&quot; &quot;;&quot; &quot;@&quot; &quot;"/>
    <numFmt numFmtId="182" formatCode="&quot; $&quot;#,##0.00&quot; &quot;;&quot;-$&quot;#,##0.00&quot; &quot;;&quot; $-&quot;#&quot; &quot;;&quot; &quot;@&quot; &quot;"/>
    <numFmt numFmtId="183" formatCode="[$$-80A]#,##0.00;[Red]&quot;-&quot;[$$-80A]#,##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color rgb="FF000000"/>
      <name val="Calibri"/>
      <family val="2"/>
    </font>
    <font>
      <sz val="11"/>
      <color rgb="FF000000"/>
      <name val="Arial"/>
      <family val="2"/>
    </font>
    <font>
      <b/>
      <sz val="11"/>
      <color rgb="FFFF0000"/>
      <name val="Arial"/>
      <family val="2"/>
    </font>
    <font>
      <b/>
      <sz val="12"/>
      <color theme="0"/>
      <name val="Arial"/>
      <family val="2"/>
    </font>
    <font>
      <b/>
      <sz val="12"/>
      <name val="Arial"/>
      <family val="2"/>
    </font>
    <font>
      <b/>
      <sz val="12"/>
      <color rgb="FFFFFFFF"/>
      <name val="Calibri"/>
      <family val="2"/>
    </font>
    <font>
      <sz val="12"/>
      <name val="Arial"/>
      <family val="2"/>
    </font>
    <font>
      <b/>
      <sz val="12"/>
      <color theme="1"/>
      <name val="Arial"/>
      <family val="2"/>
    </font>
    <font>
      <b/>
      <i/>
      <sz val="16"/>
      <color rgb="FF000000"/>
      <name val="Arial"/>
      <family val="2"/>
    </font>
    <font>
      <sz val="10"/>
      <color rgb="FF000000"/>
      <name val="Verdana"/>
      <family val="2"/>
    </font>
    <font>
      <b/>
      <i/>
      <u/>
      <sz val="11"/>
      <color rgb="FF000000"/>
      <name val="Arial"/>
      <family val="2"/>
    </font>
    <font>
      <b/>
      <sz val="14"/>
      <name val="Arial"/>
      <family val="2"/>
    </font>
    <font>
      <b/>
      <sz val="12"/>
      <color rgb="FFFF0000"/>
      <name val="Arial"/>
      <family val="2"/>
    </font>
    <font>
      <b/>
      <sz val="28"/>
      <color rgb="FF000000"/>
      <name val="Arial"/>
      <family val="2"/>
    </font>
    <font>
      <b/>
      <sz val="11"/>
      <color rgb="FFFF0000"/>
      <name val="Calibri"/>
      <family val="2"/>
    </font>
    <font>
      <sz val="8"/>
      <name val="Calibri"/>
      <family val="2"/>
      <scheme val="minor"/>
    </font>
    <font>
      <sz val="13"/>
      <name val="Arial"/>
      <family val="2"/>
    </font>
    <font>
      <sz val="11"/>
      <color theme="0"/>
      <name val="Calibri"/>
      <family val="2"/>
      <scheme val="minor"/>
    </font>
  </fonts>
  <fills count="8">
    <fill>
      <patternFill patternType="none"/>
    </fill>
    <fill>
      <patternFill patternType="gray125"/>
    </fill>
    <fill>
      <patternFill patternType="solid">
        <fgColor rgb="FFFFFF00"/>
        <bgColor theme="4"/>
      </patternFill>
    </fill>
    <fill>
      <patternFill patternType="solid">
        <fgColor rgb="FFFFFF00"/>
        <bgColor indexed="64"/>
      </patternFill>
    </fill>
    <fill>
      <patternFill patternType="solid">
        <fgColor rgb="FF00206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6"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top style="thin">
        <color auto="1"/>
      </top>
      <bottom style="medium">
        <color indexed="64"/>
      </bottom>
      <diagonal/>
    </border>
  </borders>
  <cellStyleXfs count="127">
    <xf numFmtId="0" fontId="0" fillId="0" borderId="0"/>
    <xf numFmtId="9" fontId="1" fillId="0" borderId="0" applyFont="0" applyFill="0" applyBorder="0" applyAlignment="0" applyProtection="0"/>
    <xf numFmtId="164" fontId="5" fillId="0" borderId="0" applyBorder="0" applyProtection="0"/>
    <xf numFmtId="0" fontId="6" fillId="0" borderId="0"/>
    <xf numFmtId="9" fontId="6" fillId="0" borderId="0" applyFont="0" applyFill="0" applyBorder="0" applyAlignment="0" applyProtection="0"/>
    <xf numFmtId="167" fontId="6" fillId="0" borderId="0" applyFont="0" applyFill="0" applyBorder="0" applyAlignment="0" applyProtection="0"/>
    <xf numFmtId="166" fontId="5" fillId="0" borderId="0" applyBorder="0" applyProtection="0"/>
    <xf numFmtId="170" fontId="5" fillId="0" borderId="0" applyBorder="0" applyProtection="0"/>
    <xf numFmtId="179" fontId="6" fillId="0" borderId="0" applyFont="0" applyFill="0" applyBorder="0" applyAlignment="0" applyProtection="0"/>
    <xf numFmtId="177" fontId="5" fillId="0" borderId="0" applyBorder="0" applyProtection="0"/>
    <xf numFmtId="178" fontId="5" fillId="0" borderId="0" applyBorder="0" applyProtection="0"/>
    <xf numFmtId="0" fontId="13" fillId="0" borderId="0" applyNumberFormat="0" applyBorder="0" applyProtection="0">
      <alignment horizontal="center"/>
    </xf>
    <xf numFmtId="0" fontId="13" fillId="0" borderId="0" applyNumberFormat="0" applyBorder="0" applyProtection="0">
      <alignment horizontal="center" textRotation="90"/>
    </xf>
    <xf numFmtId="180"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64" fontId="14" fillId="0" borderId="0" applyBorder="0" applyProtection="0"/>
    <xf numFmtId="166" fontId="5" fillId="0" borderId="0" applyBorder="0" applyProtection="0"/>
    <xf numFmtId="0" fontId="15" fillId="0" borderId="0" applyNumberFormat="0" applyBorder="0" applyProtection="0"/>
    <xf numFmtId="183" fontId="15" fillId="0" borderId="0" applyBorder="0" applyProtection="0"/>
    <xf numFmtId="0" fontId="1" fillId="0" borderId="0"/>
    <xf numFmtId="0" fontId="1" fillId="0" borderId="0"/>
    <xf numFmtId="43" fontId="1" fillId="0" borderId="0" applyFont="0" applyFill="0" applyBorder="0" applyAlignment="0" applyProtection="0"/>
  </cellStyleXfs>
  <cellXfs count="225">
    <xf numFmtId="0" fontId="0" fillId="0" borderId="0" xfId="0"/>
    <xf numFmtId="0" fontId="0" fillId="0" borderId="0" xfId="0" applyAlignment="1">
      <alignment horizontal="center"/>
    </xf>
    <xf numFmtId="0" fontId="0" fillId="0" borderId="0" xfId="0" pivotButton="1"/>
    <xf numFmtId="3" fontId="0" fillId="0" borderId="0" xfId="0" applyNumberFormat="1" applyAlignment="1">
      <alignment horizontal="center"/>
    </xf>
    <xf numFmtId="0" fontId="2" fillId="0" borderId="0" xfId="0" applyFont="1" applyAlignment="1">
      <alignment horizontal="center"/>
    </xf>
    <xf numFmtId="22" fontId="4" fillId="0" borderId="0" xfId="0" applyNumberFormat="1" applyFont="1" applyAlignment="1">
      <alignment horizontal="center"/>
    </xf>
    <xf numFmtId="22" fontId="0" fillId="0" borderId="0" xfId="0" applyNumberFormat="1"/>
    <xf numFmtId="9" fontId="3" fillId="2" borderId="1" xfId="1" applyFont="1" applyFill="1" applyBorder="1" applyAlignment="1">
      <alignment horizontal="center" vertical="center"/>
    </xf>
    <xf numFmtId="9" fontId="0" fillId="0" borderId="0" xfId="1" applyFont="1" applyAlignment="1">
      <alignment horizontal="center"/>
    </xf>
    <xf numFmtId="0" fontId="3" fillId="2" borderId="1" xfId="0" applyFont="1" applyFill="1" applyBorder="1" applyAlignment="1">
      <alignment horizontal="center" vertical="center" wrapText="1"/>
    </xf>
    <xf numFmtId="9" fontId="0" fillId="0" borderId="0" xfId="0" applyNumberFormat="1" applyFont="1" applyAlignment="1">
      <alignment horizontal="center"/>
    </xf>
    <xf numFmtId="10" fontId="0" fillId="0" borderId="0" xfId="0" applyNumberFormat="1" applyAlignment="1">
      <alignment horizontal="center"/>
    </xf>
    <xf numFmtId="22" fontId="3" fillId="0" borderId="0" xfId="0" applyNumberFormat="1" applyFont="1" applyAlignment="1">
      <alignment horizontal="center"/>
    </xf>
    <xf numFmtId="164" fontId="5" fillId="0" borderId="0" xfId="2" applyAlignment="1">
      <alignment horizontal="center" vertical="center" wrapText="1"/>
    </xf>
    <xf numFmtId="164" fontId="5" fillId="0" borderId="0" xfId="2" applyAlignment="1">
      <alignment vertical="center" wrapText="1"/>
    </xf>
    <xf numFmtId="165" fontId="7" fillId="3" borderId="1" xfId="2" applyNumberFormat="1" applyFont="1" applyFill="1" applyBorder="1" applyAlignment="1">
      <alignment horizontal="center" vertical="center" wrapText="1"/>
    </xf>
    <xf numFmtId="165" fontId="10" fillId="0" borderId="0" xfId="2" applyNumberFormat="1" applyFont="1" applyAlignment="1">
      <alignment horizontal="center" vertical="center" wrapText="1"/>
    </xf>
    <xf numFmtId="0" fontId="11" fillId="0" borderId="1" xfId="3" applyFont="1" applyBorder="1" applyAlignment="1">
      <alignment horizontal="center" vertical="center" wrapText="1"/>
    </xf>
    <xf numFmtId="164" fontId="11" fillId="0" borderId="1" xfId="2" applyFont="1" applyBorder="1" applyAlignment="1">
      <alignment horizontal="center" vertical="center" wrapText="1"/>
    </xf>
    <xf numFmtId="164" fontId="11" fillId="0" borderId="6" xfId="2" applyFont="1" applyBorder="1" applyAlignment="1">
      <alignment horizontal="center" vertical="center" wrapText="1"/>
    </xf>
    <xf numFmtId="0" fontId="11" fillId="0" borderId="0" xfId="3" applyFont="1" applyAlignment="1">
      <alignment vertical="center" wrapText="1"/>
    </xf>
    <xf numFmtId="166" fontId="11" fillId="0" borderId="1" xfId="2" applyNumberFormat="1" applyFont="1" applyBorder="1" applyAlignment="1">
      <alignment horizontal="center" vertical="center" wrapText="1"/>
    </xf>
    <xf numFmtId="166" fontId="11" fillId="0" borderId="1" xfId="6" applyFont="1" applyBorder="1" applyAlignment="1">
      <alignment horizontal="center" vertical="center" wrapText="1"/>
    </xf>
    <xf numFmtId="166" fontId="11" fillId="0" borderId="6" xfId="6" applyFont="1" applyBorder="1" applyAlignment="1">
      <alignment horizontal="center" vertical="center" wrapText="1"/>
    </xf>
    <xf numFmtId="3" fontId="11" fillId="0" borderId="1" xfId="6" applyNumberFormat="1" applyFont="1" applyBorder="1" applyAlignment="1">
      <alignment horizontal="center" vertical="center" wrapText="1"/>
    </xf>
    <xf numFmtId="3" fontId="11" fillId="0" borderId="6" xfId="6" applyNumberFormat="1" applyFont="1" applyBorder="1" applyAlignment="1">
      <alignment horizontal="center" vertical="center" wrapText="1"/>
    </xf>
    <xf numFmtId="165" fontId="11" fillId="0" borderId="1" xfId="2" applyNumberFormat="1" applyFont="1" applyBorder="1" applyAlignment="1">
      <alignment horizontal="center" vertical="center" wrapText="1"/>
    </xf>
    <xf numFmtId="164" fontId="11" fillId="0" borderId="1" xfId="6" applyNumberFormat="1" applyFont="1" applyBorder="1" applyAlignment="1">
      <alignment horizontal="center" vertical="center" wrapText="1"/>
    </xf>
    <xf numFmtId="164" fontId="11" fillId="0" borderId="6" xfId="6" applyNumberFormat="1" applyFont="1" applyBorder="1" applyAlignment="1">
      <alignment horizontal="center" vertical="center" wrapText="1"/>
    </xf>
    <xf numFmtId="166" fontId="11" fillId="0" borderId="6" xfId="2" applyNumberFormat="1" applyFont="1" applyBorder="1" applyAlignment="1">
      <alignment horizontal="center" vertical="center" wrapText="1"/>
    </xf>
    <xf numFmtId="169" fontId="11" fillId="0" borderId="1" xfId="2" applyNumberFormat="1" applyFont="1" applyBorder="1" applyAlignment="1">
      <alignment horizontal="center" vertical="center" wrapText="1"/>
    </xf>
    <xf numFmtId="165" fontId="11" fillId="0" borderId="6" xfId="2" applyNumberFormat="1" applyFont="1" applyBorder="1" applyAlignment="1">
      <alignment horizontal="center" vertical="center" wrapText="1"/>
    </xf>
    <xf numFmtId="171" fontId="11" fillId="0" borderId="1" xfId="7" applyNumberFormat="1" applyFont="1" applyBorder="1" applyAlignment="1">
      <alignment horizontal="center" vertical="center" wrapText="1"/>
    </xf>
    <xf numFmtId="171" fontId="11" fillId="0" borderId="6" xfId="7" applyNumberFormat="1" applyFont="1" applyBorder="1" applyAlignment="1">
      <alignment horizontal="center" vertical="center" wrapText="1"/>
    </xf>
    <xf numFmtId="172" fontId="11" fillId="0" borderId="1" xfId="2" applyNumberFormat="1" applyFont="1" applyBorder="1" applyAlignment="1">
      <alignment horizontal="center" vertical="center" wrapText="1"/>
    </xf>
    <xf numFmtId="172" fontId="11" fillId="0" borderId="6" xfId="2" applyNumberFormat="1" applyFont="1" applyBorder="1" applyAlignment="1">
      <alignment horizontal="center" vertical="center" wrapText="1"/>
    </xf>
    <xf numFmtId="1" fontId="11" fillId="0" borderId="1" xfId="2" applyNumberFormat="1" applyFont="1" applyBorder="1" applyAlignment="1">
      <alignment horizontal="center" vertical="center" wrapText="1"/>
    </xf>
    <xf numFmtId="1" fontId="11" fillId="0" borderId="6" xfId="2" applyNumberFormat="1" applyFont="1" applyBorder="1" applyAlignment="1">
      <alignment horizontal="center" vertical="center" wrapText="1"/>
    </xf>
    <xf numFmtId="174" fontId="11" fillId="0" borderId="1" xfId="2" applyNumberFormat="1" applyFont="1" applyBorder="1" applyAlignment="1">
      <alignment horizontal="center" vertical="center" wrapText="1"/>
    </xf>
    <xf numFmtId="174" fontId="11" fillId="0" borderId="6" xfId="2" applyNumberFormat="1" applyFont="1" applyBorder="1" applyAlignment="1">
      <alignment horizontal="center" vertical="center" wrapText="1"/>
    </xf>
    <xf numFmtId="166" fontId="11" fillId="0" borderId="7" xfId="6" applyFont="1" applyBorder="1" applyAlignment="1">
      <alignment horizontal="center" vertical="center" wrapText="1"/>
    </xf>
    <xf numFmtId="166" fontId="11" fillId="0" borderId="8" xfId="6" applyFont="1" applyBorder="1" applyAlignment="1">
      <alignment horizontal="center" vertical="center" wrapText="1"/>
    </xf>
    <xf numFmtId="0" fontId="6" fillId="0" borderId="0" xfId="3"/>
    <xf numFmtId="164" fontId="0" fillId="0" borderId="0" xfId="2" applyFont="1" applyAlignment="1">
      <alignment horizontal="center" vertical="center"/>
    </xf>
    <xf numFmtId="164" fontId="0" fillId="0" borderId="0" xfId="2" applyFont="1" applyAlignment="1">
      <alignment horizontal="justify" vertical="center"/>
    </xf>
    <xf numFmtId="0" fontId="6" fillId="0" borderId="9" xfId="3" applyBorder="1" applyAlignment="1">
      <alignment horizontal="justify" vertical="center"/>
    </xf>
    <xf numFmtId="175" fontId="0" fillId="0" borderId="0" xfId="2" applyNumberFormat="1" applyFont="1" applyAlignment="1">
      <alignment horizontal="justify" vertical="center"/>
    </xf>
    <xf numFmtId="164" fontId="0" fillId="0" borderId="0" xfId="2" applyFont="1" applyAlignment="1">
      <alignment vertical="center"/>
    </xf>
    <xf numFmtId="0" fontId="6" fillId="0" borderId="0" xfId="3"/>
    <xf numFmtId="166" fontId="11" fillId="0" borderId="1" xfId="2" applyNumberFormat="1" applyFont="1" applyFill="1" applyBorder="1" applyAlignment="1">
      <alignment horizontal="center" vertical="center" wrapText="1"/>
    </xf>
    <xf numFmtId="9" fontId="11" fillId="0" borderId="1" xfId="4" applyFont="1" applyFill="1" applyBorder="1" applyAlignment="1">
      <alignment horizontal="center" vertical="center" wrapText="1"/>
    </xf>
    <xf numFmtId="168" fontId="11" fillId="0" borderId="1" xfId="5" applyNumberFormat="1" applyFont="1" applyFill="1" applyBorder="1" applyAlignment="1">
      <alignment horizontal="center" vertical="center" wrapText="1"/>
    </xf>
    <xf numFmtId="166" fontId="11" fillId="0" borderId="1" xfId="6" applyFont="1" applyFill="1" applyBorder="1" applyAlignment="1">
      <alignment horizontal="center" vertical="center" wrapText="1"/>
    </xf>
    <xf numFmtId="164" fontId="11" fillId="0" borderId="1" xfId="2" applyFont="1" applyFill="1" applyBorder="1" applyAlignment="1">
      <alignment vertical="center" wrapText="1"/>
    </xf>
    <xf numFmtId="165" fontId="11" fillId="0" borderId="1" xfId="2" applyNumberFormat="1" applyFont="1" applyFill="1" applyBorder="1" applyAlignment="1">
      <alignment horizontal="center" vertical="center" wrapText="1"/>
    </xf>
    <xf numFmtId="164" fontId="11" fillId="0" borderId="1" xfId="6" applyNumberFormat="1" applyFont="1" applyFill="1" applyBorder="1" applyAlignment="1">
      <alignment horizontal="center" vertical="center" wrapText="1"/>
    </xf>
    <xf numFmtId="171" fontId="11" fillId="0" borderId="1" xfId="7" applyNumberFormat="1" applyFont="1" applyFill="1" applyBorder="1" applyAlignment="1">
      <alignment horizontal="center" vertical="center" wrapText="1"/>
    </xf>
    <xf numFmtId="172" fontId="11" fillId="0" borderId="1" xfId="2" applyNumberFormat="1" applyFont="1" applyFill="1" applyBorder="1" applyAlignment="1">
      <alignment horizontal="center" vertical="center" wrapText="1"/>
    </xf>
    <xf numFmtId="1" fontId="11" fillId="0" borderId="1" xfId="2" applyNumberFormat="1" applyFont="1" applyFill="1" applyBorder="1" applyAlignment="1">
      <alignment horizontal="center" vertical="center" wrapText="1"/>
    </xf>
    <xf numFmtId="0" fontId="11" fillId="0" borderId="1" xfId="3" applyFont="1" applyFill="1" applyBorder="1" applyAlignment="1">
      <alignment horizontal="left" vertical="center" wrapText="1"/>
    </xf>
    <xf numFmtId="173" fontId="11" fillId="0" borderId="1" xfId="2" applyNumberFormat="1" applyFont="1" applyFill="1" applyBorder="1" applyAlignment="1">
      <alignment horizontal="center" vertical="center" wrapText="1"/>
    </xf>
    <xf numFmtId="174" fontId="11" fillId="0" borderId="1" xfId="2" applyNumberFormat="1" applyFont="1" applyFill="1" applyBorder="1" applyAlignment="1">
      <alignment horizontal="center" vertical="center" wrapText="1"/>
    </xf>
    <xf numFmtId="9" fontId="11" fillId="0" borderId="6" xfId="4" applyFont="1" applyFill="1" applyBorder="1" applyAlignment="1">
      <alignment horizontal="center" vertical="center" wrapText="1"/>
    </xf>
    <xf numFmtId="164" fontId="11" fillId="0" borderId="7" xfId="2" applyFont="1" applyFill="1" applyBorder="1" applyAlignment="1">
      <alignment horizontal="justify" vertical="center" wrapText="1"/>
    </xf>
    <xf numFmtId="166" fontId="11" fillId="0" borderId="7" xfId="2" applyNumberFormat="1" applyFont="1" applyFill="1" applyBorder="1" applyAlignment="1">
      <alignment horizontal="center" vertical="center" wrapText="1"/>
    </xf>
    <xf numFmtId="168" fontId="11" fillId="0" borderId="6" xfId="5" applyNumberFormat="1" applyFont="1" applyFill="1" applyBorder="1" applyAlignment="1">
      <alignment horizontal="center" vertical="center" wrapText="1"/>
    </xf>
    <xf numFmtId="164" fontId="11" fillId="0" borderId="1" xfId="2"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1" xfId="2" applyFont="1" applyFill="1" applyBorder="1" applyAlignment="1">
      <alignment horizontal="left" vertical="center" wrapText="1"/>
    </xf>
    <xf numFmtId="164" fontId="11" fillId="0" borderId="1" xfId="2" applyFont="1" applyFill="1" applyBorder="1" applyAlignment="1">
      <alignment horizontal="justify" vertical="center" wrapText="1"/>
    </xf>
    <xf numFmtId="0" fontId="11" fillId="0" borderId="1" xfId="3" applyFont="1" applyFill="1" applyBorder="1" applyAlignment="1">
      <alignment horizontal="center" vertical="center" wrapText="1"/>
    </xf>
    <xf numFmtId="174" fontId="11" fillId="0" borderId="7" xfId="6" applyNumberFormat="1" applyFont="1" applyFill="1" applyBorder="1" applyAlignment="1">
      <alignment horizontal="center" vertical="center" wrapText="1"/>
    </xf>
    <xf numFmtId="164" fontId="11" fillId="0" borderId="7" xfId="2" applyFont="1" applyFill="1" applyBorder="1" applyAlignment="1">
      <alignment horizontal="left" vertical="center" wrapText="1"/>
    </xf>
    <xf numFmtId="165" fontId="7" fillId="3" borderId="11" xfId="2" applyNumberFormat="1" applyFont="1" applyFill="1" applyBorder="1" applyAlignment="1">
      <alignment horizontal="center" vertical="center" wrapText="1"/>
    </xf>
    <xf numFmtId="0" fontId="11" fillId="0" borderId="11" xfId="3" applyFont="1" applyBorder="1" applyAlignment="1">
      <alignment horizontal="center" vertical="center" wrapText="1"/>
    </xf>
    <xf numFmtId="164" fontId="11" fillId="0" borderId="3" xfId="2" applyFont="1" applyFill="1" applyBorder="1" applyAlignment="1">
      <alignment horizontal="justify" vertical="center" wrapText="1"/>
    </xf>
    <xf numFmtId="164" fontId="11" fillId="0" borderId="3" xfId="2" applyFont="1" applyFill="1" applyBorder="1" applyAlignment="1">
      <alignment horizontal="center" vertical="center" wrapText="1"/>
    </xf>
    <xf numFmtId="164" fontId="11" fillId="0" borderId="3" xfId="2" applyFont="1" applyFill="1" applyBorder="1" applyAlignment="1">
      <alignment horizontal="left" vertical="center" wrapText="1"/>
    </xf>
    <xf numFmtId="164" fontId="11" fillId="0" borderId="3" xfId="2" applyFont="1" applyBorder="1" applyAlignment="1">
      <alignment horizontal="center" vertical="center" wrapText="1"/>
    </xf>
    <xf numFmtId="164" fontId="11" fillId="0" borderId="4" xfId="2" applyFont="1" applyBorder="1" applyAlignment="1">
      <alignment horizontal="center" vertical="center" wrapText="1"/>
    </xf>
    <xf numFmtId="164" fontId="16" fillId="0" borderId="3" xfId="2" applyFont="1" applyBorder="1" applyAlignment="1">
      <alignment horizontal="center" vertical="center" wrapText="1"/>
    </xf>
    <xf numFmtId="166" fontId="16" fillId="0" borderId="1" xfId="2" applyNumberFormat="1" applyFont="1" applyFill="1" applyBorder="1" applyAlignment="1">
      <alignment horizontal="center" vertical="center" wrapText="1"/>
    </xf>
    <xf numFmtId="168" fontId="16" fillId="0" borderId="1" xfId="5" applyNumberFormat="1" applyFont="1" applyFill="1" applyBorder="1" applyAlignment="1">
      <alignment horizontal="center" vertical="center" wrapText="1"/>
    </xf>
    <xf numFmtId="166" fontId="16" fillId="0" borderId="1" xfId="6" applyFont="1" applyFill="1" applyBorder="1" applyAlignment="1">
      <alignment horizontal="center" vertical="center" wrapText="1"/>
    </xf>
    <xf numFmtId="164" fontId="16" fillId="0" borderId="1" xfId="2" applyFont="1" applyFill="1" applyBorder="1" applyAlignment="1">
      <alignment horizontal="center" vertical="center" wrapText="1"/>
    </xf>
    <xf numFmtId="165" fontId="16" fillId="0" borderId="1" xfId="2" applyNumberFormat="1" applyFont="1" applyFill="1" applyBorder="1" applyAlignment="1">
      <alignment horizontal="center" vertical="center" wrapText="1"/>
    </xf>
    <xf numFmtId="171" fontId="16" fillId="0" borderId="1" xfId="7" applyNumberFormat="1" applyFont="1" applyFill="1" applyBorder="1" applyAlignment="1">
      <alignment horizontal="center" vertical="center" wrapText="1"/>
    </xf>
    <xf numFmtId="1" fontId="16" fillId="0" borderId="1" xfId="2" applyNumberFormat="1" applyFont="1" applyFill="1" applyBorder="1" applyAlignment="1">
      <alignment horizontal="center" vertical="center" wrapText="1"/>
    </xf>
    <xf numFmtId="1" fontId="16" fillId="0" borderId="1" xfId="3" applyNumberFormat="1" applyFont="1" applyFill="1" applyBorder="1" applyAlignment="1">
      <alignment horizontal="center" vertical="center" wrapText="1"/>
    </xf>
    <xf numFmtId="174" fontId="16" fillId="0" borderId="1" xfId="2" applyNumberFormat="1" applyFont="1" applyFill="1" applyBorder="1" applyAlignment="1">
      <alignment horizontal="center" vertical="center" wrapText="1"/>
    </xf>
    <xf numFmtId="9" fontId="16" fillId="0" borderId="1" xfId="4" applyFont="1" applyFill="1" applyBorder="1" applyAlignment="1">
      <alignment horizontal="center" vertical="center" wrapText="1"/>
    </xf>
    <xf numFmtId="166" fontId="16" fillId="0" borderId="7" xfId="6" applyFont="1" applyFill="1" applyBorder="1" applyAlignment="1">
      <alignment horizontal="center" vertical="center" wrapText="1"/>
    </xf>
    <xf numFmtId="164" fontId="11" fillId="0" borderId="1" xfId="2" applyFont="1" applyFill="1" applyBorder="1" applyAlignment="1">
      <alignment horizontal="left" vertical="top" wrapText="1"/>
    </xf>
    <xf numFmtId="164" fontId="16" fillId="0" borderId="1" xfId="2" applyFont="1" applyBorder="1" applyAlignment="1">
      <alignment horizontal="center" vertical="center" wrapText="1"/>
    </xf>
    <xf numFmtId="166" fontId="16" fillId="0" borderId="1" xfId="6" applyFont="1" applyBorder="1" applyAlignment="1">
      <alignment horizontal="center" vertical="center" wrapText="1"/>
    </xf>
    <xf numFmtId="3" fontId="16" fillId="0" borderId="1" xfId="6" applyNumberFormat="1" applyFont="1" applyBorder="1" applyAlignment="1">
      <alignment horizontal="center" vertical="center" wrapText="1"/>
    </xf>
    <xf numFmtId="164" fontId="16" fillId="0" borderId="1" xfId="6" applyNumberFormat="1" applyFont="1" applyBorder="1" applyAlignment="1">
      <alignment horizontal="center" vertical="center" wrapText="1"/>
    </xf>
    <xf numFmtId="166" fontId="16" fillId="0" borderId="1" xfId="2" applyNumberFormat="1" applyFont="1" applyBorder="1" applyAlignment="1">
      <alignment horizontal="center" vertical="center" wrapText="1"/>
    </xf>
    <xf numFmtId="169" fontId="16" fillId="0" borderId="1" xfId="2" applyNumberFormat="1" applyFont="1" applyBorder="1" applyAlignment="1">
      <alignment horizontal="center" vertical="center" wrapText="1"/>
    </xf>
    <xf numFmtId="165" fontId="16" fillId="0" borderId="1" xfId="2" applyNumberFormat="1" applyFont="1" applyBorder="1" applyAlignment="1">
      <alignment horizontal="center" vertical="center" wrapText="1"/>
    </xf>
    <xf numFmtId="171" fontId="16" fillId="0" borderId="1" xfId="7" applyNumberFormat="1" applyFont="1" applyBorder="1" applyAlignment="1">
      <alignment horizontal="center" vertical="center" wrapText="1"/>
    </xf>
    <xf numFmtId="172" fontId="16" fillId="0" borderId="1" xfId="2" applyNumberFormat="1" applyFont="1" applyBorder="1" applyAlignment="1">
      <alignment horizontal="center" vertical="center" wrapText="1"/>
    </xf>
    <xf numFmtId="1" fontId="16" fillId="0" borderId="1" xfId="2" applyNumberFormat="1" applyFont="1" applyBorder="1" applyAlignment="1">
      <alignment horizontal="center" vertical="center" wrapText="1"/>
    </xf>
    <xf numFmtId="174" fontId="16" fillId="0" borderId="1" xfId="2" applyNumberFormat="1" applyFont="1" applyBorder="1" applyAlignment="1">
      <alignment horizontal="center" vertical="center" wrapText="1"/>
    </xf>
    <xf numFmtId="166" fontId="16" fillId="0" borderId="7" xfId="6" applyFont="1" applyBorder="1" applyAlignment="1">
      <alignment horizontal="center" vertical="center" wrapText="1"/>
    </xf>
    <xf numFmtId="164" fontId="16" fillId="0" borderId="3" xfId="2" applyFont="1" applyFill="1" applyBorder="1" applyAlignment="1">
      <alignment horizontal="center" vertical="center" wrapText="1"/>
    </xf>
    <xf numFmtId="3" fontId="8" fillId="4" borderId="13" xfId="3" applyNumberFormat="1" applyFont="1" applyFill="1" applyBorder="1" applyAlignment="1">
      <alignment horizontal="center" vertical="center" wrapText="1"/>
    </xf>
    <xf numFmtId="3" fontId="8" fillId="4" borderId="14" xfId="3" applyNumberFormat="1" applyFont="1" applyFill="1" applyBorder="1" applyAlignment="1">
      <alignment horizontal="center" vertical="center" wrapText="1"/>
    </xf>
    <xf numFmtId="3" fontId="8" fillId="4" borderId="15" xfId="3" applyNumberFormat="1" applyFont="1" applyFill="1" applyBorder="1" applyAlignment="1">
      <alignment horizontal="center" vertical="center" wrapText="1"/>
    </xf>
    <xf numFmtId="3" fontId="11" fillId="5" borderId="16" xfId="3" applyNumberFormat="1" applyFont="1" applyFill="1" applyBorder="1" applyAlignment="1">
      <alignment horizontal="center" vertical="center" wrapText="1"/>
    </xf>
    <xf numFmtId="9" fontId="11" fillId="6" borderId="16" xfId="4" applyFont="1" applyFill="1" applyBorder="1" applyAlignment="1">
      <alignment horizontal="center" vertical="center" wrapText="1"/>
    </xf>
    <xf numFmtId="3" fontId="11" fillId="6" borderId="16" xfId="3" applyNumberFormat="1" applyFont="1" applyFill="1" applyBorder="1" applyAlignment="1">
      <alignment horizontal="center" vertical="center" wrapText="1"/>
    </xf>
    <xf numFmtId="3" fontId="11" fillId="5" borderId="17" xfId="3" applyNumberFormat="1" applyFont="1" applyFill="1" applyBorder="1" applyAlignment="1">
      <alignment horizontal="center" vertical="center" wrapText="1"/>
    </xf>
    <xf numFmtId="3" fontId="16" fillId="5" borderId="16" xfId="3" applyNumberFormat="1" applyFont="1" applyFill="1" applyBorder="1" applyAlignment="1">
      <alignment horizontal="center" vertical="center" wrapText="1"/>
    </xf>
    <xf numFmtId="164" fontId="19" fillId="0" borderId="0" xfId="2" applyFont="1" applyAlignment="1">
      <alignment horizontal="left" vertical="center"/>
    </xf>
    <xf numFmtId="3" fontId="9" fillId="0" borderId="16" xfId="3" applyNumberFormat="1" applyFont="1" applyBorder="1" applyAlignment="1">
      <alignment horizontal="center" vertical="center" wrapText="1"/>
    </xf>
    <xf numFmtId="9" fontId="11" fillId="3" borderId="16" xfId="4" applyFont="1" applyFill="1" applyBorder="1" applyAlignment="1">
      <alignment horizontal="center" vertical="center" wrapText="1"/>
    </xf>
    <xf numFmtId="9" fontId="11" fillId="0" borderId="1" xfId="2" applyNumberFormat="1" applyFont="1" applyFill="1" applyBorder="1" applyAlignment="1">
      <alignment horizontal="center" vertical="center" wrapText="1"/>
    </xf>
    <xf numFmtId="9" fontId="11" fillId="0" borderId="1" xfId="2" applyNumberFormat="1" applyFont="1" applyBorder="1" applyAlignment="1">
      <alignment horizontal="center" vertical="center" wrapText="1"/>
    </xf>
    <xf numFmtId="165" fontId="11" fillId="0" borderId="0" xfId="3" applyNumberFormat="1" applyFont="1" applyAlignment="1">
      <alignment vertical="center" wrapText="1"/>
    </xf>
    <xf numFmtId="43" fontId="11" fillId="0" borderId="1" xfId="126" applyFont="1" applyFill="1" applyBorder="1" applyAlignment="1">
      <alignment horizontal="center" vertical="center" wrapText="1"/>
    </xf>
    <xf numFmtId="164" fontId="18" fillId="0" borderId="0" xfId="2" applyFont="1" applyBorder="1" applyAlignment="1">
      <alignment vertical="center" wrapText="1"/>
    </xf>
    <xf numFmtId="164" fontId="11" fillId="0" borderId="7" xfId="2" applyFont="1" applyFill="1" applyBorder="1" applyAlignment="1">
      <alignment horizontal="justify" vertical="center" wrapText="1"/>
    </xf>
    <xf numFmtId="3" fontId="8" fillId="4" borderId="2" xfId="3" applyNumberFormat="1" applyFont="1" applyFill="1" applyBorder="1" applyAlignment="1">
      <alignment horizontal="center" vertical="center" wrapText="1"/>
    </xf>
    <xf numFmtId="3" fontId="8" fillId="4" borderId="3" xfId="3" applyNumberFormat="1" applyFont="1" applyFill="1" applyBorder="1" applyAlignment="1">
      <alignment horizontal="center" vertical="center" wrapText="1"/>
    </xf>
    <xf numFmtId="3" fontId="9" fillId="5" borderId="3" xfId="3" applyNumberFormat="1" applyFont="1" applyFill="1" applyBorder="1" applyAlignment="1">
      <alignment horizontal="center" vertical="center" wrapText="1"/>
    </xf>
    <xf numFmtId="9" fontId="11" fillId="7" borderId="3" xfId="4" applyFont="1" applyFill="1" applyBorder="1" applyAlignment="1">
      <alignment horizontal="center" vertical="center" wrapText="1"/>
    </xf>
    <xf numFmtId="174" fontId="11" fillId="0" borderId="7" xfId="6" applyNumberFormat="1" applyFont="1" applyBorder="1" applyAlignment="1">
      <alignment horizontal="center" vertical="center" wrapText="1"/>
    </xf>
    <xf numFmtId="9" fontId="9" fillId="6" borderId="3" xfId="4" applyFont="1" applyFill="1" applyBorder="1" applyAlignment="1">
      <alignment horizontal="center" vertical="center" wrapText="1"/>
    </xf>
    <xf numFmtId="9" fontId="9" fillId="0" borderId="1" xfId="4" applyFont="1" applyFill="1" applyBorder="1" applyAlignment="1">
      <alignment horizontal="center" vertical="center" wrapText="1"/>
    </xf>
    <xf numFmtId="173" fontId="9" fillId="0" borderId="1" xfId="4" applyNumberFormat="1" applyFont="1" applyFill="1" applyBorder="1" applyAlignment="1">
      <alignment horizontal="center" vertical="center" wrapText="1"/>
    </xf>
    <xf numFmtId="9" fontId="9" fillId="0" borderId="1" xfId="1" applyFont="1" applyBorder="1" applyAlignment="1">
      <alignment horizontal="center" vertical="center" wrapText="1"/>
    </xf>
    <xf numFmtId="9" fontId="9" fillId="0" borderId="7" xfId="4" applyFont="1" applyFill="1" applyBorder="1" applyAlignment="1">
      <alignment horizontal="center" vertical="center" wrapText="1"/>
    </xf>
    <xf numFmtId="164" fontId="11" fillId="0" borderId="1" xfId="4" applyNumberFormat="1" applyFont="1" applyFill="1" applyBorder="1" applyAlignment="1">
      <alignment horizontal="center" vertical="center" wrapText="1"/>
    </xf>
    <xf numFmtId="9" fontId="11" fillId="0" borderId="7" xfId="4" applyFont="1" applyFill="1" applyBorder="1" applyAlignment="1">
      <alignment horizontal="center" vertical="center" wrapText="1"/>
    </xf>
    <xf numFmtId="9" fontId="11" fillId="0" borderId="0" xfId="4" applyFont="1" applyFill="1" applyBorder="1" applyAlignment="1">
      <alignment horizontal="center" vertical="center" wrapText="1"/>
    </xf>
    <xf numFmtId="166" fontId="11" fillId="0" borderId="0" xfId="6" applyFont="1" applyBorder="1" applyAlignment="1">
      <alignment horizontal="center" vertical="center" wrapText="1"/>
    </xf>
    <xf numFmtId="0" fontId="9" fillId="6" borderId="4" xfId="3" applyFont="1" applyFill="1" applyBorder="1" applyAlignment="1">
      <alignment horizontal="center" vertical="center" wrapText="1"/>
    </xf>
    <xf numFmtId="164" fontId="11" fillId="0" borderId="0" xfId="2" applyFont="1" applyFill="1" applyBorder="1" applyAlignment="1">
      <alignment horizontal="center" vertical="center" wrapText="1"/>
    </xf>
    <xf numFmtId="164" fontId="11" fillId="0" borderId="0" xfId="2" applyFont="1" applyFill="1" applyBorder="1" applyAlignment="1">
      <alignment horizontal="left" vertical="center" wrapText="1"/>
    </xf>
    <xf numFmtId="164" fontId="11" fillId="0" borderId="0" xfId="2" applyFont="1" applyFill="1" applyBorder="1" applyAlignment="1">
      <alignment horizontal="justify" vertical="center" wrapText="1"/>
    </xf>
    <xf numFmtId="166" fontId="11" fillId="0" borderId="0" xfId="2" applyNumberFormat="1" applyFont="1" applyFill="1" applyBorder="1" applyAlignment="1">
      <alignment horizontal="center" vertical="center" wrapText="1"/>
    </xf>
    <xf numFmtId="166" fontId="9" fillId="0" borderId="0" xfId="6" applyFont="1" applyFill="1" applyBorder="1" applyAlignment="1">
      <alignment horizontal="center" vertical="center" wrapText="1"/>
    </xf>
    <xf numFmtId="174" fontId="11" fillId="0" borderId="0" xfId="6" applyNumberFormat="1" applyFont="1" applyFill="1" applyBorder="1" applyAlignment="1">
      <alignment horizontal="center" vertical="center" wrapText="1"/>
    </xf>
    <xf numFmtId="174" fontId="11" fillId="0" borderId="0" xfId="6" applyNumberFormat="1" applyFont="1" applyBorder="1" applyAlignment="1">
      <alignment horizontal="center" vertical="center" wrapText="1"/>
    </xf>
    <xf numFmtId="166" fontId="9" fillId="0" borderId="0" xfId="6" applyFont="1" applyBorder="1" applyAlignment="1">
      <alignment horizontal="center" vertical="center" wrapText="1"/>
    </xf>
    <xf numFmtId="9" fontId="9" fillId="0" borderId="0" xfId="1" applyFont="1" applyBorder="1" applyAlignment="1">
      <alignment horizontal="center" vertical="center" wrapText="1"/>
    </xf>
    <xf numFmtId="9" fontId="9" fillId="0" borderId="0" xfId="4" applyFont="1" applyFill="1" applyBorder="1" applyAlignment="1">
      <alignment horizontal="center" vertical="center" wrapText="1"/>
    </xf>
    <xf numFmtId="0" fontId="11" fillId="0" borderId="0" xfId="3" applyFont="1" applyBorder="1" applyAlignment="1">
      <alignment vertical="center" wrapText="1"/>
    </xf>
    <xf numFmtId="164" fontId="11" fillId="0" borderId="11" xfId="3" applyNumberFormat="1" applyFont="1" applyBorder="1" applyAlignment="1">
      <alignment vertical="center" wrapText="1"/>
    </xf>
    <xf numFmtId="165" fontId="11" fillId="0" borderId="11" xfId="3" applyNumberFormat="1" applyFont="1" applyBorder="1" applyAlignment="1">
      <alignment vertical="center" wrapText="1"/>
    </xf>
    <xf numFmtId="164" fontId="11" fillId="0" borderId="1" xfId="3" applyNumberFormat="1" applyFont="1" applyBorder="1" applyAlignment="1">
      <alignment horizontal="center" vertical="center" wrapText="1"/>
    </xf>
    <xf numFmtId="165" fontId="11" fillId="0" borderId="11" xfId="3" applyNumberFormat="1" applyFont="1" applyBorder="1" applyAlignment="1">
      <alignment horizontal="center" vertical="center" wrapText="1"/>
    </xf>
    <xf numFmtId="166" fontId="11" fillId="0" borderId="11" xfId="3" applyNumberFormat="1" applyFont="1" applyBorder="1" applyAlignment="1">
      <alignment horizontal="center" vertical="center" wrapText="1"/>
    </xf>
    <xf numFmtId="164" fontId="11" fillId="0" borderId="1" xfId="2" applyFont="1" applyFill="1" applyBorder="1" applyAlignment="1">
      <alignment horizontal="center" vertical="center" wrapText="1"/>
    </xf>
    <xf numFmtId="164" fontId="11" fillId="0" borderId="1" xfId="2" applyFont="1" applyFill="1" applyBorder="1" applyAlignment="1">
      <alignment horizontal="justify" vertical="center" wrapText="1"/>
    </xf>
    <xf numFmtId="164" fontId="11" fillId="0" borderId="1" xfId="2" applyFont="1" applyFill="1" applyBorder="1" applyAlignment="1">
      <alignment horizontal="left" vertical="center" wrapText="1"/>
    </xf>
    <xf numFmtId="0" fontId="11" fillId="0" borderId="1" xfId="3"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7" xfId="2" applyFont="1" applyFill="1" applyBorder="1" applyAlignment="1">
      <alignment horizontal="left" vertical="center" wrapText="1"/>
    </xf>
    <xf numFmtId="164" fontId="11" fillId="0" borderId="11" xfId="3" applyNumberFormat="1" applyFont="1" applyBorder="1" applyAlignment="1">
      <alignment horizontal="center" vertical="center" wrapText="1"/>
    </xf>
    <xf numFmtId="10" fontId="9" fillId="0" borderId="1" xfId="4" applyNumberFormat="1" applyFont="1" applyFill="1" applyBorder="1" applyAlignment="1">
      <alignment horizontal="center" vertical="center" wrapText="1"/>
    </xf>
    <xf numFmtId="9" fontId="9" fillId="0" borderId="1" xfId="4" applyNumberFormat="1" applyFont="1" applyFill="1" applyBorder="1" applyAlignment="1">
      <alignment horizontal="center" vertical="center" wrapText="1"/>
    </xf>
    <xf numFmtId="1" fontId="11" fillId="0" borderId="11" xfId="3" applyNumberFormat="1" applyFont="1" applyBorder="1" applyAlignment="1">
      <alignment horizontal="center" vertical="center" wrapText="1"/>
    </xf>
    <xf numFmtId="9" fontId="11" fillId="0" borderId="11" xfId="3" applyNumberFormat="1" applyFont="1" applyBorder="1" applyAlignment="1">
      <alignment horizontal="center" vertical="center" wrapText="1"/>
    </xf>
    <xf numFmtId="9" fontId="11" fillId="0" borderId="1" xfId="1" applyFont="1" applyBorder="1" applyAlignment="1">
      <alignment horizontal="center" vertical="center" wrapText="1"/>
    </xf>
    <xf numFmtId="171" fontId="11" fillId="0" borderId="11" xfId="3" applyNumberFormat="1" applyFont="1" applyBorder="1" applyAlignment="1">
      <alignment vertical="center" wrapText="1"/>
    </xf>
    <xf numFmtId="172" fontId="11" fillId="0" borderId="11" xfId="3" applyNumberFormat="1" applyFont="1" applyBorder="1" applyAlignment="1">
      <alignment horizontal="center" vertical="center" wrapText="1"/>
    </xf>
    <xf numFmtId="166" fontId="11" fillId="0" borderId="26" xfId="3" applyNumberFormat="1" applyFont="1" applyBorder="1" applyAlignment="1">
      <alignment horizontal="center" vertical="center" wrapText="1"/>
    </xf>
    <xf numFmtId="168" fontId="11" fillId="0" borderId="11" xfId="3" applyNumberFormat="1" applyFont="1" applyBorder="1" applyAlignment="1">
      <alignment horizontal="center" vertical="center" wrapText="1"/>
    </xf>
    <xf numFmtId="0" fontId="11" fillId="0" borderId="6" xfId="3" applyFont="1" applyFill="1" applyBorder="1" applyAlignment="1">
      <alignment vertical="center" wrapText="1"/>
    </xf>
    <xf numFmtId="3" fontId="11" fillId="0" borderId="11" xfId="3" applyNumberFormat="1" applyFont="1" applyBorder="1" applyAlignment="1">
      <alignment horizontal="center" vertical="center" wrapText="1"/>
    </xf>
    <xf numFmtId="173" fontId="21" fillId="0" borderId="6" xfId="1" applyNumberFormat="1" applyFont="1" applyFill="1" applyBorder="1" applyAlignment="1">
      <alignment horizontal="left" vertical="top" wrapText="1"/>
    </xf>
    <xf numFmtId="0" fontId="9" fillId="0" borderId="11" xfId="3" applyFont="1" applyBorder="1" applyAlignment="1">
      <alignment horizontal="center" vertical="center" wrapText="1"/>
    </xf>
    <xf numFmtId="9" fontId="9" fillId="0" borderId="11" xfId="3" applyNumberFormat="1" applyFont="1" applyBorder="1" applyAlignment="1">
      <alignment horizontal="center" vertical="center" wrapText="1"/>
    </xf>
    <xf numFmtId="166" fontId="9" fillId="0" borderId="11" xfId="3" applyNumberFormat="1" applyFont="1" applyBorder="1" applyAlignment="1">
      <alignment horizontal="center" vertical="center" wrapText="1"/>
    </xf>
    <xf numFmtId="9" fontId="9" fillId="0" borderId="11" xfId="1" applyFont="1" applyBorder="1" applyAlignment="1">
      <alignment horizontal="center" vertical="center" wrapText="1"/>
    </xf>
    <xf numFmtId="0" fontId="9" fillId="0" borderId="1" xfId="3" applyFont="1" applyBorder="1" applyAlignment="1">
      <alignment horizontal="center" vertical="center" wrapText="1"/>
    </xf>
    <xf numFmtId="9" fontId="9" fillId="0" borderId="1" xfId="3" applyNumberFormat="1" applyFont="1" applyBorder="1" applyAlignment="1">
      <alignment horizontal="center" vertical="center" wrapText="1"/>
    </xf>
    <xf numFmtId="166" fontId="9" fillId="0" borderId="1" xfId="3" applyNumberFormat="1" applyFont="1" applyBorder="1" applyAlignment="1">
      <alignment horizontal="center" vertical="center" wrapText="1"/>
    </xf>
    <xf numFmtId="166" fontId="9" fillId="0" borderId="7" xfId="3" applyNumberFormat="1" applyFont="1" applyBorder="1" applyAlignment="1">
      <alignment horizontal="center" vertical="center" wrapText="1"/>
    </xf>
    <xf numFmtId="173" fontId="11" fillId="0" borderId="1" xfId="4" applyNumberFormat="1" applyFont="1" applyFill="1" applyBorder="1" applyAlignment="1">
      <alignment horizontal="center" vertical="center" wrapText="1"/>
    </xf>
    <xf numFmtId="1" fontId="11" fillId="0" borderId="1" xfId="3" applyNumberFormat="1" applyFont="1" applyFill="1" applyBorder="1" applyAlignment="1">
      <alignment horizontal="center" vertical="center" wrapText="1"/>
    </xf>
    <xf numFmtId="166" fontId="11" fillId="0" borderId="7" xfId="6" applyFont="1" applyFill="1" applyBorder="1" applyAlignment="1">
      <alignment horizontal="center" vertical="center" wrapText="1"/>
    </xf>
    <xf numFmtId="9" fontId="11" fillId="0" borderId="7" xfId="1" applyFont="1" applyBorder="1" applyAlignment="1">
      <alignment horizontal="center" vertical="center" wrapText="1"/>
    </xf>
    <xf numFmtId="164" fontId="11" fillId="0" borderId="1" xfId="2" applyFont="1" applyFill="1" applyBorder="1" applyAlignment="1">
      <alignment horizontal="center" vertical="center" wrapText="1"/>
    </xf>
    <xf numFmtId="171" fontId="11" fillId="0" borderId="11" xfId="3" applyNumberFormat="1" applyFont="1" applyBorder="1" applyAlignment="1">
      <alignment horizontal="center" vertical="center" wrapText="1"/>
    </xf>
    <xf numFmtId="164" fontId="22" fillId="0" borderId="0" xfId="2" applyFont="1" applyBorder="1" applyAlignment="1">
      <alignment horizontal="justify" vertical="center"/>
    </xf>
    <xf numFmtId="9" fontId="22" fillId="0" borderId="0" xfId="1" applyFont="1" applyBorder="1" applyAlignment="1">
      <alignment horizontal="center" vertical="center"/>
    </xf>
    <xf numFmtId="14" fontId="0" fillId="0" borderId="0" xfId="2" applyNumberFormat="1" applyFont="1" applyAlignment="1">
      <alignment horizontal="center" vertical="center"/>
    </xf>
    <xf numFmtId="0" fontId="0" fillId="0" borderId="0" xfId="2" applyNumberFormat="1" applyFont="1" applyAlignment="1">
      <alignment horizontal="center" vertical="center"/>
    </xf>
    <xf numFmtId="0" fontId="12" fillId="0" borderId="10" xfId="3" applyFont="1" applyBorder="1" applyAlignment="1">
      <alignment horizontal="center" vertical="center"/>
    </xf>
    <xf numFmtId="164" fontId="11" fillId="0" borderId="1" xfId="2" applyFont="1" applyFill="1" applyBorder="1" applyAlignment="1">
      <alignment horizontal="center" vertical="center" wrapText="1"/>
    </xf>
    <xf numFmtId="164" fontId="11" fillId="0" borderId="5" xfId="2" applyFont="1" applyFill="1" applyBorder="1" applyAlignment="1">
      <alignment horizontal="center" vertical="center" wrapText="1"/>
    </xf>
    <xf numFmtId="164" fontId="11" fillId="0" borderId="12" xfId="2"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1" xfId="2" applyFont="1" applyFill="1" applyBorder="1" applyAlignment="1">
      <alignment horizontal="left" vertical="center" wrapText="1"/>
    </xf>
    <xf numFmtId="164" fontId="11" fillId="0" borderId="7" xfId="2" applyFont="1" applyFill="1" applyBorder="1" applyAlignment="1">
      <alignment horizontal="left" vertical="center" wrapText="1"/>
    </xf>
    <xf numFmtId="164" fontId="11" fillId="0" borderId="1" xfId="2" applyFont="1" applyFill="1" applyBorder="1" applyAlignment="1">
      <alignment horizontal="justify" vertical="center" wrapText="1"/>
    </xf>
    <xf numFmtId="0" fontId="11" fillId="0" borderId="1" xfId="3" applyFont="1" applyFill="1" applyBorder="1" applyAlignment="1">
      <alignment horizontal="center" vertical="center" wrapText="1"/>
    </xf>
    <xf numFmtId="164" fontId="11" fillId="0" borderId="3" xfId="2" applyFont="1" applyFill="1" applyBorder="1" applyAlignment="1">
      <alignment horizontal="center" vertical="center" wrapText="1"/>
    </xf>
    <xf numFmtId="164" fontId="18" fillId="0" borderId="18" xfId="2" applyFont="1" applyBorder="1" applyAlignment="1">
      <alignment horizontal="center" vertical="center" wrapText="1"/>
    </xf>
    <xf numFmtId="164" fontId="18" fillId="0" borderId="19" xfId="2" applyFont="1" applyBorder="1" applyAlignment="1">
      <alignment horizontal="center" vertical="center" wrapText="1"/>
    </xf>
    <xf numFmtId="164" fontId="18" fillId="0" borderId="0" xfId="2" applyFont="1" applyBorder="1" applyAlignment="1">
      <alignment horizontal="center" vertical="center" wrapText="1"/>
    </xf>
    <xf numFmtId="164" fontId="18" fillId="0" borderId="20" xfId="2" applyFont="1" applyBorder="1" applyAlignment="1">
      <alignment horizontal="center" vertical="center" wrapText="1"/>
    </xf>
    <xf numFmtId="164" fontId="18" fillId="0" borderId="21" xfId="2" applyFont="1" applyBorder="1" applyAlignment="1">
      <alignment horizontal="center" vertical="center" wrapText="1"/>
    </xf>
    <xf numFmtId="164" fontId="18" fillId="0" borderId="22" xfId="2" applyFont="1" applyBorder="1" applyAlignment="1">
      <alignment horizontal="center" vertical="center" wrapText="1"/>
    </xf>
    <xf numFmtId="0" fontId="6" fillId="0" borderId="25" xfId="3" applyBorder="1" applyAlignment="1">
      <alignment horizontal="center"/>
    </xf>
    <xf numFmtId="0" fontId="6" fillId="0" borderId="18" xfId="3" applyBorder="1" applyAlignment="1">
      <alignment horizontal="center"/>
    </xf>
    <xf numFmtId="0" fontId="6" fillId="0" borderId="19" xfId="3" applyBorder="1" applyAlignment="1">
      <alignment horizontal="center"/>
    </xf>
    <xf numFmtId="0" fontId="6" fillId="0" borderId="23" xfId="3" applyBorder="1" applyAlignment="1">
      <alignment horizontal="center"/>
    </xf>
    <xf numFmtId="0" fontId="6" fillId="0" borderId="0" xfId="3" applyBorder="1" applyAlignment="1">
      <alignment horizontal="center"/>
    </xf>
    <xf numFmtId="0" fontId="6" fillId="0" borderId="20" xfId="3" applyBorder="1" applyAlignment="1">
      <alignment horizontal="center"/>
    </xf>
    <xf numFmtId="0" fontId="6" fillId="0" borderId="24" xfId="3" applyBorder="1" applyAlignment="1">
      <alignment horizontal="center"/>
    </xf>
    <xf numFmtId="0" fontId="6" fillId="0" borderId="21" xfId="3" applyBorder="1" applyAlignment="1">
      <alignment horizontal="center"/>
    </xf>
    <xf numFmtId="0" fontId="6" fillId="0" borderId="22" xfId="3" applyBorder="1" applyAlignment="1">
      <alignment horizontal="center"/>
    </xf>
    <xf numFmtId="164" fontId="11" fillId="0" borderId="2" xfId="2" applyFont="1" applyFill="1" applyBorder="1" applyAlignment="1">
      <alignment horizontal="center" vertical="center" wrapText="1"/>
    </xf>
    <xf numFmtId="164" fontId="11" fillId="0" borderId="3" xfId="2" applyFont="1" applyFill="1" applyBorder="1" applyAlignment="1">
      <alignment horizontal="justify" vertical="center" wrapText="1"/>
    </xf>
    <xf numFmtId="164" fontId="22" fillId="0" borderId="0" xfId="2" applyFont="1" applyBorder="1" applyAlignment="1">
      <alignment horizontal="center" vertical="center"/>
    </xf>
    <xf numFmtId="164" fontId="18" fillId="0" borderId="23" xfId="2" applyFont="1" applyBorder="1" applyAlignment="1">
      <alignment horizontal="center" vertical="center" wrapText="1"/>
    </xf>
    <xf numFmtId="164" fontId="9" fillId="0" borderId="5" xfId="2" applyFont="1" applyFill="1" applyBorder="1" applyAlignment="1">
      <alignment horizontal="center" vertical="center" wrapText="1"/>
    </xf>
    <xf numFmtId="164" fontId="9" fillId="0" borderId="1" xfId="2" applyFont="1" applyFill="1" applyBorder="1" applyAlignment="1">
      <alignment horizontal="center" vertical="center" wrapText="1"/>
    </xf>
    <xf numFmtId="173" fontId="21" fillId="0" borderId="1" xfId="1" applyNumberFormat="1" applyFont="1" applyFill="1" applyBorder="1" applyAlignment="1">
      <alignment horizontal="left" vertical="top" wrapText="1"/>
    </xf>
    <xf numFmtId="165" fontId="11" fillId="0" borderId="6" xfId="3" applyNumberFormat="1" applyFont="1" applyFill="1" applyBorder="1" applyAlignment="1">
      <alignment vertical="center" wrapText="1"/>
    </xf>
    <xf numFmtId="0" fontId="11" fillId="0" borderId="8" xfId="3" applyFont="1" applyFill="1" applyBorder="1" applyAlignment="1">
      <alignment vertical="center" wrapText="1"/>
    </xf>
  </cellXfs>
  <cellStyles count="127">
    <cellStyle name="Excel Built-in Comma" xfId="7" xr:uid="{B755FFEB-A20F-42CF-AE69-BDF50CA150E1}"/>
    <cellStyle name="Excel Built-in Currency" xfId="9" xr:uid="{B0A7095A-EF1C-4F39-B450-1C7F8E266C1B}"/>
    <cellStyle name="Excel Built-in Currency [0]" xfId="10" xr:uid="{28F3C2BC-8229-4FD1-9FEC-9D17D686E90B}"/>
    <cellStyle name="Excel Built-in Normal" xfId="2" xr:uid="{D9BAF44B-BF3F-46AF-8ADB-CB3A536F84A9}"/>
    <cellStyle name="Excel Built-in Percent" xfId="6" xr:uid="{B6F42A19-BA87-4B0A-84C2-ECF6A48748D2}"/>
    <cellStyle name="Heading" xfId="11" xr:uid="{A56AEAA2-BBBE-46A2-BCD3-C3C7FB4692D5}"/>
    <cellStyle name="Heading1" xfId="12" xr:uid="{857D019D-FCB1-4DA5-B2FF-849BB3DEC526}"/>
    <cellStyle name="Millares" xfId="126" builtinId="3"/>
    <cellStyle name="Millares [0] 2" xfId="13" xr:uid="{68EA49CE-681B-437F-B972-FA3FE905EC15}"/>
    <cellStyle name="Millares 10" xfId="14" xr:uid="{153FD451-01C9-425E-8CA7-36F683045794}"/>
    <cellStyle name="Millares 11" xfId="15" xr:uid="{0CEA0F22-F98B-4D2B-B19E-1EC7B2831756}"/>
    <cellStyle name="Millares 12" xfId="16" xr:uid="{D35237AD-E379-4B66-B81C-0AEB33188F1B}"/>
    <cellStyle name="Millares 13" xfId="17" xr:uid="{C21EAA9E-C85E-472E-8D8C-F9A9AA471E3E}"/>
    <cellStyle name="Millares 2" xfId="5" xr:uid="{3684DC21-7C76-4B20-8311-86A2DCA3B42B}"/>
    <cellStyle name="Millares 2 2" xfId="19" xr:uid="{E407F554-C3A8-4177-AB13-E413230A0090}"/>
    <cellStyle name="Millares 2 2 2" xfId="20" xr:uid="{233B947B-6941-49AB-ACEE-D01C5ED02BD4}"/>
    <cellStyle name="Millares 2 2 2 2" xfId="21" xr:uid="{29702AB5-71EC-4B18-9599-EB9C8FB7581F}"/>
    <cellStyle name="Millares 2 2 3" xfId="22" xr:uid="{868B6409-7B8A-46C6-81AF-69E1D8863F87}"/>
    <cellStyle name="Millares 2 3" xfId="23" xr:uid="{E0909D0A-EE32-480B-99F3-525E8042C7C9}"/>
    <cellStyle name="Millares 2 3 2" xfId="24" xr:uid="{D60E4930-A64B-412F-88D7-B41454642CE5}"/>
    <cellStyle name="Millares 2 3 2 2" xfId="25" xr:uid="{2F9EB2C8-BEEA-40C0-B96E-07CAD2477223}"/>
    <cellStyle name="Millares 2 3 3" xfId="26" xr:uid="{BB408B62-9603-4B03-B84C-D1155C8F4966}"/>
    <cellStyle name="Millares 2 4" xfId="27" xr:uid="{2FC95B20-E1D2-43B1-B8A8-C759AA6ECD1C}"/>
    <cellStyle name="Millares 2 4 2" xfId="28" xr:uid="{97B8096A-CAFA-4440-A4AE-F2AEC05A43CB}"/>
    <cellStyle name="Millares 2 5" xfId="29" xr:uid="{4C272693-FCBE-450F-A0B4-0BE6CDBABCBC}"/>
    <cellStyle name="Millares 2 6" xfId="18" xr:uid="{833652C9-17C3-440F-9140-E4839A9628CB}"/>
    <cellStyle name="Millares 3" xfId="30" xr:uid="{D4471D59-0D7B-40D2-AE2A-19108D1AA938}"/>
    <cellStyle name="Millares 3 2" xfId="31" xr:uid="{600BA57C-4FE6-4DEC-A840-562170469080}"/>
    <cellStyle name="Millares 3 2 2" xfId="32" xr:uid="{9C91BE31-063C-49DF-AF2F-66A8B45C43A1}"/>
    <cellStyle name="Millares 3 2 2 2" xfId="33" xr:uid="{DF02EB95-BE8B-441F-BCE1-3B469A945691}"/>
    <cellStyle name="Millares 3 2 2 2 2" xfId="34" xr:uid="{B2CFF150-F012-41CE-83B1-4CFF251F44B0}"/>
    <cellStyle name="Millares 3 2 2 2 2 2" xfId="35" xr:uid="{805E1D9F-C19F-49AD-BBAB-F10C1513414C}"/>
    <cellStyle name="Millares 3 2 2 2 3" xfId="36" xr:uid="{881F1689-0981-47E2-90FC-7773BE7B4612}"/>
    <cellStyle name="Millares 3 2 2 3" xfId="37" xr:uid="{DC6D9ED7-3155-4041-8730-EC024AD9B137}"/>
    <cellStyle name="Millares 3 2 2 3 2" xfId="38" xr:uid="{05CACD1A-64DB-4B50-BC69-4C86BC95524E}"/>
    <cellStyle name="Millares 3 2 2 4" xfId="39" xr:uid="{1F55C371-B536-48E0-914E-42EB6CAFC9F5}"/>
    <cellStyle name="Millares 3 2 3" xfId="40" xr:uid="{1B666409-50E4-4D82-92FA-84D5A37A942E}"/>
    <cellStyle name="Millares 3 2 3 2" xfId="41" xr:uid="{70D41669-19F5-4F2A-837F-050AE71833F9}"/>
    <cellStyle name="Millares 3 2 3 2 2" xfId="42" xr:uid="{B07FB9A0-EAF6-41CE-9637-21264AAD76EA}"/>
    <cellStyle name="Millares 3 2 3 3" xfId="43" xr:uid="{59C3FD68-0BA7-41D3-BBDB-69C179B6F73C}"/>
    <cellStyle name="Millares 3 2 4" xfId="44" xr:uid="{81C32E07-C8C2-49D0-A22A-C574302926EB}"/>
    <cellStyle name="Millares 3 2 4 2" xfId="45" xr:uid="{2FB2F809-614E-4A37-9ABB-2DF9612FA7FD}"/>
    <cellStyle name="Millares 3 2 5" xfId="46" xr:uid="{0554ACD4-87C3-4CEF-B3CF-707EB7EC6287}"/>
    <cellStyle name="Millares 3 3" xfId="47" xr:uid="{68A14F31-FA0B-4E98-BB50-BAB9B13EB91A}"/>
    <cellStyle name="Millares 3 3 2" xfId="48" xr:uid="{639F9C06-AF80-47AD-9669-296AF9975C03}"/>
    <cellStyle name="Millares 3 3 2 2" xfId="49" xr:uid="{9ED301CD-EBCE-4ADE-85EC-597E76A62D60}"/>
    <cellStyle name="Millares 3 3 2 2 2" xfId="50" xr:uid="{9D95B507-64B9-4BA4-B127-E721ED418B9E}"/>
    <cellStyle name="Millares 3 3 2 3" xfId="51" xr:uid="{023838E7-9D12-459D-82FE-C48EBD62A4AF}"/>
    <cellStyle name="Millares 3 3 3" xfId="52" xr:uid="{E4F87A7C-F10D-4EFD-A3DC-47CE435EBEBE}"/>
    <cellStyle name="Millares 3 3 3 2" xfId="53" xr:uid="{3AEABAF5-E4A9-444E-9BBB-D66DC672191F}"/>
    <cellStyle name="Millares 3 3 4" xfId="54" xr:uid="{263AC9E2-C130-425E-B156-8C3503DBF112}"/>
    <cellStyle name="Millares 3 4" xfId="55" xr:uid="{8FDEC89A-A2F6-46D3-A93E-ED4D24E80ECC}"/>
    <cellStyle name="Millares 3 4 2" xfId="56" xr:uid="{717666BD-DB76-4DA6-83D7-9ED99A0E6E78}"/>
    <cellStyle name="Millares 3 4 2 2" xfId="57" xr:uid="{CDE693E1-FE66-477A-BA11-3B24E4D1FFB8}"/>
    <cellStyle name="Millares 3 4 3" xfId="58" xr:uid="{0141E060-F3EB-445F-B846-7FE12C022A11}"/>
    <cellStyle name="Millares 3 5" xfId="59" xr:uid="{1C924390-59B6-48A4-9072-DA1B46FE21B2}"/>
    <cellStyle name="Millares 3 5 2" xfId="60" xr:uid="{C0C15B76-3BE6-4C3C-AB91-E168D6B729C9}"/>
    <cellStyle name="Millares 3 5 2 2" xfId="61" xr:uid="{7A7D58C2-9080-45BB-9EBC-FBC29BE3F5CB}"/>
    <cellStyle name="Millares 3 5 3" xfId="62" xr:uid="{0BBB7B3A-8D34-4B04-9269-F9CE19EE78CF}"/>
    <cellStyle name="Millares 3 6" xfId="63" xr:uid="{25170D4A-F12C-4AE0-8209-D743374487EC}"/>
    <cellStyle name="Millares 3 6 2" xfId="64" xr:uid="{AA475774-82FD-420B-BBFF-B241084FFB0F}"/>
    <cellStyle name="Millares 3 7" xfId="65" xr:uid="{83F7C052-5870-4E05-83D7-CBD6DEC20A2F}"/>
    <cellStyle name="Millares 4" xfId="66" xr:uid="{F1631DBD-1933-46E7-A215-0A5798278FA1}"/>
    <cellStyle name="Millares 5" xfId="67" xr:uid="{F071C4CD-3CE0-4292-985C-C904FA0B5216}"/>
    <cellStyle name="Millares 6" xfId="68" xr:uid="{85DC6213-39CC-4A55-AA6A-0C864AD66C6B}"/>
    <cellStyle name="Millares 7" xfId="69" xr:uid="{B9B84405-C17E-455D-AA0F-9EEDD4F1B371}"/>
    <cellStyle name="Millares 8" xfId="70" xr:uid="{83E40523-9F2B-40C7-86FF-80BE09C4BA03}"/>
    <cellStyle name="Millares 9" xfId="71" xr:uid="{CACA0E35-C5E7-49E1-B002-497CD5E616BD}"/>
    <cellStyle name="Moneda [0] 2" xfId="72" xr:uid="{AB37492E-646F-42C3-BE29-AA74E909458D}"/>
    <cellStyle name="Moneda [0] 2 2" xfId="73" xr:uid="{8C58A92F-FE4E-4C10-A42C-A9D267C9EE28}"/>
    <cellStyle name="Moneda [0] 2 2 2" xfId="74" xr:uid="{7B259F3D-A69B-413F-AB60-8F40E312BAE9}"/>
    <cellStyle name="Moneda [0] 2 2 2 2" xfId="75" xr:uid="{EE9FDB32-38AE-4A1A-A251-6A54CDAF1A1E}"/>
    <cellStyle name="Moneda [0] 2 2 2 2 2" xfId="76" xr:uid="{4D99339C-316C-47CB-B0E3-0DA29F4C7FC4}"/>
    <cellStyle name="Moneda [0] 2 2 2 3" xfId="77" xr:uid="{4CF69D9A-3736-4D86-8D0D-F17895DC996A}"/>
    <cellStyle name="Moneda [0] 2 2 3" xfId="78" xr:uid="{3D7A5127-C963-425E-A5AA-38147B8393FA}"/>
    <cellStyle name="Moneda [0] 2 2 3 2" xfId="79" xr:uid="{B2CCDE93-85D4-44D8-9ED2-EBE5349208EC}"/>
    <cellStyle name="Moneda [0] 2 2 4" xfId="80" xr:uid="{E442DD7E-BC70-4EA1-8454-A51498268377}"/>
    <cellStyle name="Moneda [0] 2 3" xfId="81" xr:uid="{EBA2E282-6A0E-4380-8DD0-C081048EECE4}"/>
    <cellStyle name="Moneda [0] 2 3 2" xfId="82" xr:uid="{C36C0F54-2AB0-4299-81B7-39FBFE580110}"/>
    <cellStyle name="Moneda [0] 2 3 2 2" xfId="83" xr:uid="{7F209AA3-14A2-42B5-81C6-A4CA3F5BC4E1}"/>
    <cellStyle name="Moneda [0] 2 3 3" xfId="84" xr:uid="{7BA3909E-1017-4280-885A-CDD392B9456B}"/>
    <cellStyle name="Moneda [0] 2 4" xfId="85" xr:uid="{462F9F5C-6710-40D0-BFDA-BEFE89CD38EF}"/>
    <cellStyle name="Moneda [0] 2 4 2" xfId="86" xr:uid="{A3E7976A-7CAE-432B-9A36-DD14C423AB8E}"/>
    <cellStyle name="Moneda [0] 2 5" xfId="87" xr:uid="{CAE30CBF-C98B-4066-B12A-C84E0FA19427}"/>
    <cellStyle name="Moneda [0] 3" xfId="88" xr:uid="{1B8D7FB6-7459-43B5-91C2-F2FED6FED845}"/>
    <cellStyle name="Moneda [0] 3 2" xfId="89" xr:uid="{39473732-BDC5-46E5-8D79-7A843C8E6DF2}"/>
    <cellStyle name="Moneda [0] 3 2 2" xfId="90" xr:uid="{AA331279-2617-433B-8CBE-3A164BBC84EB}"/>
    <cellStyle name="Moneda [0] 3 2 2 2" xfId="91" xr:uid="{B0D67519-C088-4EAA-B29C-1A087315DEC0}"/>
    <cellStyle name="Moneda [0] 3 2 3" xfId="92" xr:uid="{AD0AF906-8F97-443F-A502-60E5DD7CC460}"/>
    <cellStyle name="Moneda [0] 3 3" xfId="93" xr:uid="{49628625-CF29-4EFF-9AAA-7B6A8177BD79}"/>
    <cellStyle name="Moneda [0] 3 3 2" xfId="94" xr:uid="{AD0332E3-F9B1-49D9-9827-52E4098185DB}"/>
    <cellStyle name="Moneda [0] 3 4" xfId="95" xr:uid="{00F3868F-2F12-43E0-B446-4C061DA218D2}"/>
    <cellStyle name="Moneda [0] 4" xfId="96" xr:uid="{B5512997-DE00-448B-8985-D52564072882}"/>
    <cellStyle name="Moneda [0] 4 2" xfId="97" xr:uid="{CBA8C5A4-73F6-4D4A-A184-F97D4E87370D}"/>
    <cellStyle name="Moneda [0] 4 2 2" xfId="98" xr:uid="{50DF49E2-2FA5-4402-9716-51CE6F7E9D10}"/>
    <cellStyle name="Moneda [0] 4 3" xfId="99" xr:uid="{543EEFFF-35F5-4DAC-916F-C005040B8898}"/>
    <cellStyle name="Moneda [0] 5" xfId="100" xr:uid="{AEAEAA02-DE54-4C11-8E13-2B6736F22544}"/>
    <cellStyle name="Moneda [0] 5 2" xfId="101" xr:uid="{C5B4CEDA-F6E3-48A8-B0CE-7AAF01900E9D}"/>
    <cellStyle name="Moneda [0] 5 2 2" xfId="102" xr:uid="{5F988392-0695-4C76-97AB-78E297296D09}"/>
    <cellStyle name="Moneda [0] 5 3" xfId="103" xr:uid="{ADC3C1BE-F101-4688-B8A5-2C8C29E079B6}"/>
    <cellStyle name="Moneda 2" xfId="104" xr:uid="{194D2C1B-873B-4B92-A088-1B5E00313193}"/>
    <cellStyle name="Moneda 2 2" xfId="105" xr:uid="{7B3A2F0A-90ED-4265-9387-7C8663847BD2}"/>
    <cellStyle name="Moneda 2 2 2" xfId="106" xr:uid="{1AF22B1C-F63D-4457-95D2-A8EE8FFE9569}"/>
    <cellStyle name="Moneda 2 2 2 2" xfId="107" xr:uid="{16380515-EC8C-4559-A659-511FB6F622D1}"/>
    <cellStyle name="Moneda 2 2 3" xfId="108" xr:uid="{BB10B9FC-3A91-46E2-B896-E1F477FC625C}"/>
    <cellStyle name="Moneda 2 3" xfId="109" xr:uid="{36E47EFB-FD0D-481E-AFD7-D4CCB91FE3AA}"/>
    <cellStyle name="Moneda 2 3 2" xfId="110" xr:uid="{4A754624-9DA1-4CF8-8EBC-1F76D81C4680}"/>
    <cellStyle name="Moneda 2 4" xfId="111" xr:uid="{794200C7-B35E-4A30-8595-D24650CBBE60}"/>
    <cellStyle name="Moneda 3" xfId="112" xr:uid="{9499B836-5A1D-4C96-9423-5CDF9764FE9C}"/>
    <cellStyle name="Moneda 3 2" xfId="113" xr:uid="{11925E5C-2AC9-46F0-9731-C813ECEADD5E}"/>
    <cellStyle name="Moneda 3 2 2" xfId="114" xr:uid="{5E2A6C78-C038-47F0-8927-9F80724E0439}"/>
    <cellStyle name="Moneda 3 2 2 2" xfId="115" xr:uid="{9B7091B3-D000-480E-BB64-5466EFC82A15}"/>
    <cellStyle name="Moneda 3 2 3" xfId="116" xr:uid="{8B1560B2-0978-403F-86E2-EA00F3D7B486}"/>
    <cellStyle name="Moneda 3 3" xfId="117" xr:uid="{5922F756-BFA6-4326-8F2C-572C71FA75DD}"/>
    <cellStyle name="Moneda 3 3 2" xfId="118" xr:uid="{D75D9281-774D-44E8-862B-6D0E24497E80}"/>
    <cellStyle name="Moneda 3 4" xfId="119" xr:uid="{8C2ADBDD-FDAC-4D78-9679-74B165635CCC}"/>
    <cellStyle name="Moneda 4" xfId="8" xr:uid="{5C7E82CD-D581-494A-8BCF-344E5C2E2B74}"/>
    <cellStyle name="Normal" xfId="0" builtinId="0"/>
    <cellStyle name="Normal 2" xfId="3" xr:uid="{A7D50C10-32A6-4FFD-BFA1-1C59AF92982C}"/>
    <cellStyle name="Normal 2 2" xfId="120" xr:uid="{705904CA-1291-4576-9A1E-1F92D083F102}"/>
    <cellStyle name="Normal 3" xfId="124" xr:uid="{BE2DFDF0-A06E-4823-8044-ED3073FB506E}"/>
    <cellStyle name="Normal 4" xfId="125" xr:uid="{C15A6A7E-6216-4E08-B84C-B1C54556B1E6}"/>
    <cellStyle name="Porcentaje" xfId="1" builtinId="5"/>
    <cellStyle name="Porcentaje 2" xfId="4" xr:uid="{6123D0E6-9201-41D6-9939-B0699B7B4B08}"/>
    <cellStyle name="Porcentaje 2 2" xfId="121" xr:uid="{586522DF-D4D3-44B3-AC0A-DCA9BEAD8AAE}"/>
    <cellStyle name="Result" xfId="122" xr:uid="{4A923363-446A-4EF4-99F8-CB87242738C5}"/>
    <cellStyle name="Result2" xfId="123" xr:uid="{D0820611-3315-424D-9B62-5E8F29975D5D}"/>
  </cellStyles>
  <dxfs count="47">
    <dxf>
      <font>
        <b/>
        <i val="0"/>
        <color rgb="FFFF0000"/>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3" formatCode="#,##0"/>
    </dxf>
    <dxf>
      <numFmt numFmtId="3" formatCode="#,##0"/>
    </dxf>
    <dxf>
      <numFmt numFmtId="14" formatCode="0.0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27" formatCode="d/mm/yyyy\ h:mm"/>
    </dxf>
    <dxf>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275394</xdr:colOff>
      <xdr:row>0</xdr:row>
      <xdr:rowOff>128426</xdr:rowOff>
    </xdr:from>
    <xdr:to>
      <xdr:col>7</xdr:col>
      <xdr:colOff>1944015</xdr:colOff>
      <xdr:row>2</xdr:row>
      <xdr:rowOff>270923</xdr:rowOff>
    </xdr:to>
    <xdr:pic>
      <xdr:nvPicPr>
        <xdr:cNvPr id="2" name="Imagen 1">
          <a:extLst>
            <a:ext uri="{FF2B5EF4-FFF2-40B4-BE49-F238E27FC236}">
              <a16:creationId xmlns:a16="http://schemas.microsoft.com/office/drawing/2014/main" id="{FC2083C3-6BC7-45BC-8E4A-E7E19DF7B3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1925" y="128426"/>
          <a:ext cx="4954746" cy="9759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275394</xdr:colOff>
      <xdr:row>0</xdr:row>
      <xdr:rowOff>92708</xdr:rowOff>
    </xdr:from>
    <xdr:to>
      <xdr:col>4</xdr:col>
      <xdr:colOff>1944015</xdr:colOff>
      <xdr:row>2</xdr:row>
      <xdr:rowOff>301880</xdr:rowOff>
    </xdr:to>
    <xdr:pic>
      <xdr:nvPicPr>
        <xdr:cNvPr id="2" name="Imagen 1">
          <a:extLst>
            <a:ext uri="{FF2B5EF4-FFF2-40B4-BE49-F238E27FC236}">
              <a16:creationId xmlns:a16="http://schemas.microsoft.com/office/drawing/2014/main" id="{6B820C68-2DE6-4E7B-98A7-3F30121B58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544" y="92708"/>
          <a:ext cx="4954746" cy="9711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los M" refreshedDate="43861.755544907406" missingItemsLimit="0" createdVersion="6" refreshedVersion="6" minRefreshableVersion="3" recordCount="76" xr:uid="{BD5B0EE0-E637-4C11-9B89-7DD9A14FC756}">
  <cacheSource type="worksheet">
    <worksheetSource name="Tabla_kronos_MCSIG_PEI"/>
  </cacheSource>
  <cacheFields count="14">
    <cacheField name="DEP_NOMBRE" numFmtId="0">
      <sharedItems count="25">
        <s v="Despacho de la Dirección de Patrimonio y Memoria"/>
        <s v="Despacho de la Dirección de Artes"/>
        <s v="Despacho de la Dirección de Poblaciones_x000d__x000a_"/>
        <s v="Despacho del Viceministro de la Creatividad y la Economía Naranja"/>
        <s v="Oficina Asesora Jurídica"/>
        <s v="Despacho del Ministro"/>
        <s v="Despacho de la Dirección de Fomento Regional"/>
        <s v="Grupo de Emprendimiento Cultural_x000d__x000a_"/>
        <s v="Despacho de la Dirección de Cinematografía"/>
        <s v="Despacho de la Dirección de Comunicaciones"/>
        <s v="Sinfónica"/>
        <s v="Grupo del Teatro Colón "/>
        <s v="Biblioteca Nacional de Colombia_x000d__x000a_"/>
        <s v="Grupo de Politicas Culturales y Asuntos Internacionales"/>
        <s v="Grupo de Infraestructura Cultural_x000d__x000a_"/>
        <s v="Museo Nacional de Colombia_x000d__x000a_"/>
        <s v="Grupo Programa Nacional de Concertación_x000d__x000a_"/>
        <s v="Grupo Programa Nacional de Estímulos_x000d__x000a_"/>
        <s v="Oficina Asesora de Planeación"/>
        <s v="Oficina de Control Interno"/>
        <s v="Grupo de  Gestión de Sistemas  e Informática _x000d__x000a_"/>
        <s v="Grupo de Gestión Documental_x000d__x000a_"/>
        <s v="Grupo de Gestión Humana_x000d__x000a_"/>
        <s v="Grupo de Gestión Financiera y Contable_x000d__x000a_"/>
        <s v="Secretaría General "/>
      </sharedItems>
    </cacheField>
    <cacheField name="OBJ_ID" numFmtId="0">
      <sharedItems containsSemiMixedTypes="0" containsString="0" containsNumber="1" containsInteger="1" minValue="1" maxValue="8" count="8">
        <n v="1"/>
        <n v="2"/>
        <n v="3"/>
        <n v="4"/>
        <n v="5"/>
        <n v="6"/>
        <n v="7"/>
        <n v="8"/>
      </sharedItems>
    </cacheField>
    <cacheField name="OBJ_DESCRIPCION" numFmtId="0">
      <sharedItems count="8" longText="1">
        <s v="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s v="Liderar la articulación entre los diferentes niveles de gobierno, los agentes del sector cultura y el sector privado para propiciar el acceso a la cultura, la innovación y el emprendimiento cultural desde nuestros territorios"/>
        <s v="Ampliar la oferta institucional que contribuya al cierre de brechas sociales, impulsando las manifestaciones artísticas y culturales, los talentos creativos, la innovación y el desarrollo de nuevos emprendimientos."/>
        <s v="Establecer alianzas estratégicas para la consecución de recursos que apoyen el desarrollo de procesos culturales."/>
        <s v="Generar y consolidar espacios que faciliten entornos apropiados para el desarrollo de los procesos y proyectos artísticos y culturales"/>
        <s v="Implementar acciones de protección, reconocimiento y salvaguarda del patrimonio cultural Colombiano para preservar e impulsar nuestra identidad nacional, desde los territorios"/>
        <s v="Impulsar procesos creativos culturales que generen valor social agregado y fortalezcan la identidad y memoria cultural, desde los territorios"/>
        <s v="Fortalecer la capacidad de gestión y desempeño institucional y la mejora continua de los procesos, basada en  la gestión de los riesgos,  el manejo de la  información y la evaluación para la toma de decisiones."/>
      </sharedItems>
    </cacheField>
    <cacheField name="EST_ID" numFmtId="0">
      <sharedItems containsSemiMixedTypes="0" containsString="0" containsNumber="1" containsInteger="1" minValue="31" maxValue="77" count="33">
        <n v="32"/>
        <n v="31"/>
        <n v="33"/>
        <n v="48"/>
        <n v="47"/>
        <n v="51"/>
        <n v="49"/>
        <n v="50"/>
        <n v="53"/>
        <n v="55"/>
        <n v="54"/>
        <n v="52"/>
        <n v="56"/>
        <n v="57"/>
        <n v="60"/>
        <n v="58"/>
        <n v="62"/>
        <n v="64"/>
        <n v="67"/>
        <n v="61"/>
        <n v="63"/>
        <n v="68"/>
        <n v="65"/>
        <n v="66"/>
        <n v="71"/>
        <n v="70"/>
        <n v="72"/>
        <n v="75"/>
        <n v="77"/>
        <n v="76"/>
        <n v="73"/>
        <n v="74"/>
        <n v="69"/>
      </sharedItems>
    </cacheField>
    <cacheField name="EST_DESCRIPCION" numFmtId="0">
      <sharedItems count="33">
        <s v="Formulación e implementación de Políticas Públicas del ámbito cultural con enfoque poblacional y territorial "/>
        <s v="Formulación, desarrollo y actualización del marco normativo del sector cultura"/>
        <s v="Levantamiento y acceso de información del sector cultura"/>
        <s v="Coordinación y seguimiento a las intervenciones en los territorios a partir de las necesidades priorizadas por estos en el marco de las diferentes interacciones en las regiones "/>
        <s v="Fortalecimiento de la gestión cultural en los territorios"/>
        <s v="Fortalecimiento de los procesos de reparación colectiva de las comunidades con enfoque diferencial"/>
        <s v="Fortalecimiento del emprendimiento cultural en los territorios "/>
        <s v="Promoción de un entorno institucional para el desarrollo y la consolidación de la ciudadanía creativa y la economía naranja_x000d__x000a__x000d__x000a_"/>
        <s v="Formación para las artes, la cultura y la economía creativa"/>
        <s v="Impulso de la difusión y el conocimiento de las expresiones artísticas y culturales"/>
        <s v="Impulso del consumo nacional de bienes y servicios artísticos y culturales"/>
        <s v="Promoción de hábitos de lectura en la población Colombiana con enfasis en la primera infancia, infancia, adolescencia y familias"/>
        <s v="Diseño y puesta en marcha modelos de financiación para la cultura._x000d__x000a_"/>
        <s v="Promoción de la gestión de recursos para el desarrollo de los procesos artísticos culturales_x000d__x000a_"/>
        <s v="Diseño e eimplementación de circuitos regionales para la movilidad de los procesos y practicas artísticas y culturales en articulación con las infraestructuras y los programas existentes en el territorio."/>
        <s v="Estructuración, construcción, adecuación y/o dotación de espacios para el desarrollo de las expresiones y manifestaciones culturales y artísticas propias de los territorios."/>
        <s v="Fortalecimiento de la función social del patrimonio cultural con enfoque de promoción de las identidades culturales desde los territorios - Memoria de los Territorios"/>
        <s v="Garantia de la preservación del patrimonio material representado en las colecciones de los Museos del Ministerio de  Cultura"/>
        <s v="Particpación en la formulación y ejecución de los de los planes  conmemorativos al Bicentenario 1819-1823. con enfoque territorial"/>
        <s v="Transmisión y conservación de los oficios de las artes y el patrimonio cultural para el desarrollo social de los territorios- Memoria en las manos"/>
        <s v="Vincular la conservación, protección,  recuperación y nuevas dinámicas  del patrimonio material (mueble e inmueble)  a los procesos productivos propios de los territorios - Memoria Construida"/>
        <s v="Fortalecimiento de espacios itinerantes y no convencionales, para extender la oferta de bienes y servicios culturales._x000d__x000a_"/>
        <s v="Fortalecimiento del Programa Nacional de Concertación Cultural - PNCC y el Programa Nacional de Estimulos -  PNE."/>
        <s v="Generación de “valor agregado naranja” en el sector productivo a partir del patrimonio cultural."/>
        <s v="Articulación y mejoramiento del Sistema Integrado de Gestión Institucional"/>
        <s v="Aseguramiento y fortalecimiento del Modelo Integrado de Planeación y Gestión en el Ministerio de Cultura"/>
        <s v="Fortalecemiento del sistema de control interno y la lucha contra la corrupción"/>
        <s v="Fortalecimiento de  las TICs y los canales de comunicación."/>
        <s v="Fortalecimiento de la gestión jurídica de la entidad"/>
        <s v="Fortalecimiento de la implementación de los instrumentos archivísticos para facilitar su utilización y garantizar su conservación y preservación a largo plazo."/>
        <s v="Fortalecimiento de las estrategias de transparencia, participación y servicio al ciudadano"/>
        <s v="Fortalecimiento de las políticas de gestión del Talento Humano"/>
        <s v="Promoción de una gerencia efectiva de los recursos físicos y financieros"/>
      </sharedItems>
    </cacheField>
    <cacheField name="SIN_ID" numFmtId="0">
      <sharedItems containsSemiMixedTypes="0" containsString="0" containsNumber="1" containsInteger="1" minValue="221" maxValue="310" count="76">
        <n v="223"/>
        <n v="224"/>
        <n v="225"/>
        <n v="226"/>
        <n v="227"/>
        <n v="221"/>
        <n v="222"/>
        <n v="304"/>
        <n v="228"/>
        <n v="232"/>
        <n v="229"/>
        <n v="230"/>
        <n v="231"/>
        <n v="237"/>
        <n v="233"/>
        <n v="234"/>
        <n v="289"/>
        <n v="235"/>
        <n v="236"/>
        <n v="243"/>
        <n v="244"/>
        <n v="245"/>
        <n v="246"/>
        <n v="247"/>
        <n v="307"/>
        <n v="249"/>
        <n v="250"/>
        <n v="251"/>
        <n v="248"/>
        <n v="238"/>
        <n v="239"/>
        <n v="240"/>
        <n v="241"/>
        <n v="242"/>
        <n v="252"/>
        <n v="253"/>
        <n v="254"/>
        <n v="259"/>
        <n v="290"/>
        <n v="309"/>
        <n v="255"/>
        <n v="256"/>
        <n v="257"/>
        <n v="308"/>
        <n v="262"/>
        <n v="263"/>
        <n v="264"/>
        <n v="267"/>
        <n v="297"/>
        <n v="310"/>
        <n v="260"/>
        <n v="261"/>
        <n v="265"/>
        <n v="266"/>
        <n v="275"/>
        <n v="276"/>
        <n v="268"/>
        <n v="269"/>
        <n v="270"/>
        <n v="271"/>
        <n v="272"/>
        <n v="273"/>
        <n v="274"/>
        <n v="306"/>
        <n v="281"/>
        <n v="283"/>
        <n v="282"/>
        <n v="286"/>
        <n v="288"/>
        <n v="287"/>
        <n v="280"/>
        <n v="284"/>
        <n v="285"/>
        <n v="277"/>
        <n v="278"/>
        <n v="279"/>
      </sharedItems>
    </cacheField>
    <cacheField name="SIN_NOMBRE" numFmtId="0">
      <sharedItems count="76">
        <s v="Territorios con política de turismo cultural implementada"/>
        <s v="Pilotos de PCI en contextos Urbanos PCIU implementados"/>
        <s v="Política de formación artística y cultural diseñada"/>
        <s v="Plan Decenal de Lenguas Nativas concertado e implementado  "/>
        <s v="Documentos de Políticas Públicas para el fortalecimiento de la Economia Naranja formulados_x000d__x000a_"/>
        <s v="Proyecto de modificación de la Ley de Cultura presentado al Congreso "/>
        <s v="Iniciativas legislativas presentadas ante el Congreso que inciden en el sector cultura, conceptualizadas"/>
        <s v="Marco normativo generado para el desarrollo de la economia naranja"/>
        <s v="Subsectores de la Cuenta Satélite de Cultura medidos "/>
        <s v="Cumplimiento de compromisos en territorios priorizados "/>
        <s v="Entidades territoriales asesoradas en la estrategia de Fomento a la Gestión Cultural "/>
        <s v="Creadores y gestores culturales vinculados a los Beneficios Económicos Periódicos - BEPS"/>
        <s v="Entidades territoriales que incluyen el componente cultural en sus planes de desarrollo"/>
        <s v="Medidas de reparación atendidas"/>
        <s v="Municipios acompañados en el desarrollo de estrategias de Nodos de Emprendimiento Cultural"/>
        <s v="Colectivos de mujeres atendidos con fortalecimiento de sus habilidades y capacidades de gestión."/>
        <s v="Pilotos con el programa &quot;mujeres afro narran su territorio implementados&quot; (componente emprendimiento)."/>
        <s v="Agendas creativas regionales implementadas _x000d__x000a_"/>
        <s v="Áreas de Desarrollo Naranja (ADN) implementadas"/>
        <s v="Cualificaciones del sector según el mapa ocupacional y los segmentos del campo cultural elaboradas._x000d__x000a_"/>
        <s v="Personas beneficiadas por programas de formación artística y cultural"/>
        <s v="Niños y jóvenes beneficiados por programas y procesos artísticos y culturales "/>
        <s v="Municipios acompañados en el desarrollo de estrategias de circulación y formación de públicos, para el cine colombiano. "/>
        <s v="Colectivos de comunicación fortalecidos en narrativas, creación y comunicación"/>
        <s v="Pilotos con el programa &quot;mujeres afro narran su territorio implementados&quot;. (componente creación)"/>
        <s v="Nuevos contenidos visuales, sonoros y convergentes de comunicación cultural creados"/>
        <s v="Conciertos realizados para acercar al público a la experiencia de la musica sinfónica."/>
        <s v="Funciones de obras artisticas y culturales realizadas en sala del Teatro Colón "/>
        <s v="Visitas de usuarios a los contenidos de la plataforma Retina Latina registradas"/>
        <s v="Promedio de libros leídos por la población colombiana entre 5 y 11 años (ECC)"/>
        <s v="Promedio de libros leídos por la población colombiana, de 12 años o más  (ECC)"/>
        <s v="Libros digitales dispuestos al público por la Biblioteca Nacional de Colombia"/>
        <s v="Usuarios registrados en las plataformas Maguaré y MaguaRED"/>
        <s v="Entidades territoriales con asesoría y acompañamiento técnico para el fortalecimiento de las redes y/o bibliotecas públicas  de su región."/>
        <s v="Instrumentos de Financiación diseñados y puestos en marcha (FIDETER, FNG, Aldea)"/>
        <s v="Valor de los recursos técnicos y/o financieros gestionados a través de procesos de cooperación."/>
        <s v="Proyectos aprobados en el Sistema General de Regalías para el sector Cultura "/>
        <s v="Circuitos regionales para la movilidad de los procesos y prácticas artísticas y culturales, diseñados y en funcionamiento"/>
        <s v="Circuitos nacionales e internacionales de las narradoras afros y sus obras_x000d__x000a_"/>
        <s v="Obras artísticas creadas y exhibidas en los salones nacionales y regionales de artistas  "/>
        <s v="Infraestructuras culturales Construidas, adecuadas y dotadas,_x000d__x000a_"/>
        <s v="Diseño del museo de la diversidad étnica y cultural_x000d__x000a_"/>
        <s v="Espacios físicos adecuados y/o mantenidos para el desarrollo de las funciones museológicas"/>
        <s v="Museo narrativo para las mujeres afro que narran su territorio"/>
        <s v="Manifestaciones inscritos en la Lista Representativa de Patrimonio Cultural Inmaterial de la Humanidad y la Lista de Patrimonio Mundial de la UNESCO_x000a_"/>
        <s v="Elementos inscritos en las Listas Representativas de Patrimonio Cultural Inmaterial y de Bienes de Interés Cultural de la Nación."/>
        <s v="Regiones PDET con el programa de Expedición Sensorial Implementado._x000d__x000a_"/>
        <s v="Planes de conservación de colecciones ejecutados"/>
        <s v="Planes formulados y en ejecución"/>
        <s v="Ejemplares de la colección &quot;Historias de la Historia de Colombia&quot; que hacen parte de la Serie Leer es mi cuento entregados"/>
        <s v="Escuelas Taller de Colombia creadas"/>
        <s v="Talleres Escuela creadas"/>
        <s v="Bienes de interés cultural del ámbito nacional que cuentan con Planes Especiales de Manejo y Protección PEMP_x000d__x000a_"/>
        <s v="Bienes de interés cultural del ámbito nacional intervenidos_x000d__x000a_"/>
        <s v="Bibliotecas públicas de la RNBP que implementan el Programa de Bibliotecas Itinerantes. "/>
        <s v="Exposiciones de colecciones itinerantes realizadas_x000d__x000a_"/>
        <s v="Proyectos artísticos y culturales financiados a través del Programa Nacional de Concertación Cultural"/>
        <s v="Proyectos apoyados por el PNCC priorizados con seguimiento "/>
        <s v="Estímulos otorgados a proyectos artísticos y culturales"/>
        <s v="Estímulos otorgados por el PNE, priorizados con seguimiento "/>
        <s v="Escuela Taller Naranja creada"/>
        <s v="Unidades de negocio bajo el modelo de la Diáspora Africana en Colombia apoyadas"/>
        <s v="Emprendedores o empresas de las agendas creativas regionales fortalecidas con asistencia técnica_x000d__x000a_"/>
        <s v="Empresas que acceden al sistema de beneficios tributarios_x000d__x000a_"/>
        <s v="Nivel de integración de los subsistemas en el Sistema Integrado de Gestión Institucional"/>
        <s v="Nivel de implementación de las dimensiones del Modelo Integrado de Planeación y Gestión._x000d__x000a_"/>
        <s v="Cumplimiento del Programa Anual de Auditorias Internas."/>
        <s v="Capacidad en la prestación de servicios de tecnología"/>
        <s v="Porcentaje de fallos a favor de procesos judiciales en donde participe la entidad"/>
        <s v="Instrumentos archivísticos implementados en el Ministerio de Cultura"/>
        <s v="Seguimiento y monitoreo del Plan Anticorrupción y Atención al Ciudadano. _x000d__x000a_"/>
        <s v="Nivel de ejecución del Plan Institucional de Capacitaciones_x000d__x000a_"/>
        <s v="Nivel de satisfacción de las capacitaciones realizadas"/>
        <s v="Porcentaje de ejecución presupuestal"/>
        <s v="Seguimiento del Plan Estratégico Institucional_x000d__x000a_"/>
        <s v="Porcentaje de reducción de gastos de logística, tiquetes, viáticos y publicidad (austeridad de gasto)"/>
      </sharedItems>
    </cacheField>
    <cacheField name="SIP_CANTIDAD" numFmtId="3">
      <sharedItems containsSemiMixedTypes="0" containsString="0" containsNumber="1" minValue="0" maxValue="10000000000"/>
    </cacheField>
    <cacheField name="SIU_NUMBRE" numFmtId="0">
      <sharedItems/>
    </cacheField>
    <cacheField name="SIA_CANTIDAD" numFmtId="3">
      <sharedItems containsString="0" containsBlank="1" containsNumber="1" minValue="0" maxValue="11359904293"/>
    </cacheField>
    <cacheField name="SIA_OBSERVACIONES" numFmtId="0">
      <sharedItems containsBlank="1" longText="1"/>
    </cacheField>
    <cacheField name="SIA_FECHA" numFmtId="22">
      <sharedItems containsNonDate="0" containsDate="1" containsString="0" containsBlank="1" minDate="2019-07-08T11:35:06" maxDate="2019-12-31T18:38:12"/>
    </cacheField>
    <cacheField name="% Avance TOTAL" numFmtId="9">
      <sharedItems containsMixedTypes="1" containsNumber="1" minValue="0" maxValue="7.46" count="29">
        <s v="Meta sin Valor"/>
        <n v="1.4"/>
        <n v="1"/>
        <n v="4"/>
        <n v="0"/>
        <n v="2.9627507163323781"/>
        <n v="0.56000000000000005"/>
        <n v="1.0625"/>
        <n v="1.25"/>
        <n v="2.3333333333333335"/>
        <n v="1.0971536109150788"/>
        <n v="1.0640714350549152"/>
        <n v="1.024"/>
        <n v="1.3"/>
        <n v="1.1434782608695653"/>
        <n v="1.1055155000000001"/>
        <n v="2.2667173333333333"/>
        <n v="0.66666666666666663"/>
        <n v="1.1359904293"/>
        <n v="1.2285714285714286"/>
        <n v="0.92596401028277631"/>
        <n v="1.02"/>
        <n v="7.46"/>
        <n v="0.99"/>
        <n v="1.1494871794871795"/>
        <n v="1.0444444444444445"/>
        <n v="1.175"/>
        <n v="1.0572687224669604"/>
        <n v="0.9"/>
      </sharedItems>
    </cacheField>
    <cacheField name="PND" numFmtId="0">
      <sharedItems count="2">
        <s v="-"/>
        <s v="X"/>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
  <r>
    <x v="0"/>
    <x v="0"/>
    <x v="0"/>
    <x v="0"/>
    <x v="0"/>
    <x v="0"/>
    <x v="0"/>
    <n v="0"/>
    <s v="Número"/>
    <n v="0"/>
    <s v="A Dic  La dirección de patrimonio finalizó el proceso de validación de los lineamientos de la política de turismo cultural realizado durante el 2do semestre de 2019. _x000d__x000a_El evento de turismo culturalse reqalizo  conjuntamente con el Viceministerio de turismo  el 13,14 y 15 de noviembre en la ciudad de Popayán._x000d__x000a_"/>
    <d v="2019-12-31T15:35:15"/>
    <x v="0"/>
    <x v="0"/>
  </r>
  <r>
    <x v="0"/>
    <x v="0"/>
    <x v="0"/>
    <x v="0"/>
    <x v="0"/>
    <x v="1"/>
    <x v="1"/>
    <n v="0"/>
    <s v="Número"/>
    <n v="0"/>
    <s v="Se han desarrollado 7 pilotajes de la caja de herramientas con comunidades en 7 ciudades diferentes del país esto ha permitido que las comunidades cuentan con nuevos insumos de conocimientos y de planificación del patrimonio cultural inmaterial en contextos urbanos de forma participativa._x000d__x000a_Además, a través de las &quot;Becas para la implementación de la metodología de patrimonio cultural inmaterial en contextos urbanos&quot;, comunidades de Bogotá, Neiva y Montería tendrán la oportunidad de implementar la caja de herramientas en el marco del fortalecimiento de sus propias estrategias de salvaguardia. "/>
    <d v="2019-12-31T15:36:37"/>
    <x v="0"/>
    <x v="0"/>
  </r>
  <r>
    <x v="1"/>
    <x v="0"/>
    <x v="0"/>
    <x v="0"/>
    <x v="0"/>
    <x v="2"/>
    <x v="2"/>
    <n v="0"/>
    <s v="Número"/>
    <n v="0"/>
    <s v="Se elaboró el borrador del documento  de propuesta para el diseño de política. Está en proceso de revisión para presentación a la Dirección. Se está ajustando lo referente a Presupuesto estimado. "/>
    <d v="2019-09-30T12:04:16"/>
    <x v="0"/>
    <x v="0"/>
  </r>
  <r>
    <x v="2"/>
    <x v="0"/>
    <x v="0"/>
    <x v="0"/>
    <x v="0"/>
    <x v="3"/>
    <x v="3"/>
    <n v="25"/>
    <s v="Número"/>
    <n v="35"/>
    <s v="Para el 2019 se establece una meta del 50% considerando que se desarrollará el proceso de dialogo cultural con los representantes de la MPC,  para la vigencia 2020 se tiene previsto iniciar el proceso de dialogo cultural con los representantes de las lenguas criollas. El cumplimiento del proceso de concertación y protocolización con Pueblos Indígenas corresponde al 75% y Lenguas criollas al 25%, como resultado una meta del 100%_x000d__x000a_Hito 1: Desarrollo de mesa de concertación con los representantes de los Pueblos indígenas. 20%: Se convocó al desarrollo de una sesión de la Mesa Permanente de Concertación, el 3, 4 y 5 de junio, con la participación de representantes de la ONIC, OPIAC, CIT, Gobierno Mayor, AICO, Delegado de Congresistas Indígenas, MinCultura, Mintic, Mineducación, Instituto Caro y Cuervo, Defensoría del Pueblo, Procuraduría General de la Nación, así como la secretaria técnica de Pueblos Indígenas de Colombia y Mininterior._x000d__x000a_Se acordó que el Ministerio de Cultura apoyará a ONIC, AICO y Gobierno Mayor para la retroalimentación del Plan Decenal de Lenguas dentro de los territorios. Contratación de un experto lingüista indígena para la CIT_x000d__x000a_hito 2: Desarrollo de convenios para proceso de retroalimentación del Plan Decenal de Lenguas con las comunidades indígenas. 15%: A fecha de corte ya se encuentran suscritos los convenios con Gobierno Mayor por $38.000.000, ONIC por $141.360.656 y AICO por $62.740.000, para realizar un evento con representantes de los pueblos indígenas y organizaciones filiales, en los cuales se desarrollarán espacios de diálogo cultural con el fin de retroalimentar el documento del Plan Decenal de Lenguas Nativas. Sistematización de la experiencia y aportes del encuentro nacional de los Pueblos y Organizaciones Indígenas sobre el Plan Decenal de Lenguas Nativas._x000d__x000a_Hito 3: Documento final con retroalimentación y observaciones al Plan Decenal de Lenguas. 15%: El cumplimiento de este hito se tiene previsto para el mes de diciembre."/>
    <d v="2019-09-30T18:04:04"/>
    <x v="1"/>
    <x v="0"/>
  </r>
  <r>
    <x v="3"/>
    <x v="0"/>
    <x v="0"/>
    <x v="0"/>
    <x v="0"/>
    <x v="4"/>
    <x v="4"/>
    <n v="1"/>
    <s v="Número"/>
    <n v="1"/>
    <s v="Se cuenta con los siguientes documentos realizados en la vigencia 2019:_x000d__x000a__x000d__x000a_a) Documento de bases conceptuales de economía naranja._x000d__x000a_b) Documento de estrategias de economía naranja._x000d__x000a__x000d__x000a_Que constituyen en unidad el primer documento de política de Economía Naranja realizado por el Viceministerio de la Creatividad y la Economía Naranja y aprobado por el Consejo de Economía Naranja el 16-12-2019._x000d__x000a_"/>
    <d v="2019-12-31T15:26:26"/>
    <x v="2"/>
    <x v="0"/>
  </r>
  <r>
    <x v="4"/>
    <x v="0"/>
    <x v="0"/>
    <x v="1"/>
    <x v="1"/>
    <x v="5"/>
    <x v="5"/>
    <n v="0"/>
    <s v="Número"/>
    <n v="0"/>
    <s v="Se ha iniciado el acercamiento con el área de agenda legislativa y  en el  marco del Plan Nacional de Desarrollo se modificó el artículo 10 de la Ley 397 de 1997._x000d__x000a_Por otro lado, de conformidad con el Decreto 2120 de 2018 una de las actividades establecidas en cabeza de esta oficina se encuentra la aplicación del régimen sancionatorio establecido en el artículo 15 de la Ley 397 de 1997 modificado por el artículo 10 de la Ley 1185 de 2008, y se identificó una falencia normativa en las disposicones que generan tropiezos en la gestión de la protección del patrimonio cultural, para este efecto, se ha realizado la contratación del abogado Alejandro Badillo del contrato No. 3216/19 con el objeto “Prestar servicios profesionales para acompañar la gestión de las actividades propias de la Oficina Jurídica, en especial, las relacionadas con la agenda regulatoria de la Entidad.”, donde dentro de sus obligaciones especiales se encuentran: Preparar proyectos de ley, decretos, resoluciones, y demás actos administrativos  sometidos a su consideración.&quot;_x000d__x000a__x000d__x000a_Esta contratación se realiza con el fin de dar cumplimiento al plan estratégico institucional a cargo de esta Oficina planteada para el cuatrienio"/>
    <d v="2019-12-27T10:26:42"/>
    <x v="0"/>
    <x v="0"/>
  </r>
  <r>
    <x v="4"/>
    <x v="0"/>
    <x v="0"/>
    <x v="1"/>
    <x v="1"/>
    <x v="6"/>
    <x v="6"/>
    <n v="25"/>
    <s v="Número"/>
    <n v="25"/>
    <s v="Se conceptualizaron 22 proyectos, superando con creces la meta de 15 para el año 2019._x000d__x000a__x000d__x000a__x000d__x000a_"/>
    <d v="2019-12-31T10:36:12"/>
    <x v="2"/>
    <x v="0"/>
  </r>
  <r>
    <x v="3"/>
    <x v="0"/>
    <x v="0"/>
    <x v="1"/>
    <x v="1"/>
    <x v="7"/>
    <x v="7"/>
    <n v="3"/>
    <s v="Número"/>
    <n v="3"/>
    <s v="Durante el desarrollo de la vigencia 2019 se llevó a cabo la generación y fortalecimiento de un marco normativo público que propendió por el desarrollo de la economía naranja en el país destacando principalmente la ley 1943 de 2019 “ley de Financiamiento”, que luego se remplazaría por la ley 2010 de 2019 de la Nueva Reforma Tributaria; así mismo, se creó la ley 1955 de 2019 por el cual se expide el Plan Nacional de Desarrollo 2018-2022. “Pacto por Colombia, Pacto por la Equidad” y finalmente, se expidió la Resolución 1933 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
    <d v="2019-12-31T15:23:22"/>
    <x v="2"/>
    <x v="0"/>
  </r>
  <r>
    <x v="3"/>
    <x v="0"/>
    <x v="0"/>
    <x v="2"/>
    <x v="2"/>
    <x v="8"/>
    <x v="8"/>
    <n v="1"/>
    <s v="Número"/>
    <n v="4"/>
    <s v="Con la ampliación de 10 a 14 subsectores de la Economía Naranja se complementó la medición de la CSCEN, agregando sectores como Diseño, Joyas y Bisutería, Publicidad y Edición de Software. La Cuenta se publicó en el mes de septiembre y su crecimiento en lo proyectado frente a la meta establecida, corresponde principalmente a la inclusión de 34 CIUUs totales y 67 CIUUs parciales en la metodología de cálculo de la participación de la economía naranja en el valor agregado nacional._x000d__x000a__x000d__x000a_Por la solicitud realizada por parte del DNP y la Presidencia de la República frente al replantamiento de la formulación de la línea base del indicador transformacional del sector cultura, se añadieron nuevos sectores a la metodología de cálculo de la línea base, razón por la cual se ampliaron los subsectores de medición a 13 para la línea base y se amplió en 1 subsector adicional para la medición respecto al año 2019."/>
    <d v="2019-12-31T15:27:21"/>
    <x v="3"/>
    <x v="0"/>
  </r>
  <r>
    <x v="5"/>
    <x v="1"/>
    <x v="1"/>
    <x v="3"/>
    <x v="3"/>
    <x v="9"/>
    <x v="9"/>
    <n v="33"/>
    <s v="Número"/>
    <m/>
    <m/>
    <m/>
    <x v="4"/>
    <x v="0"/>
  </r>
  <r>
    <x v="6"/>
    <x v="1"/>
    <x v="1"/>
    <x v="4"/>
    <x v="4"/>
    <x v="10"/>
    <x v="10"/>
    <n v="93"/>
    <s v="Porcentaje"/>
    <n v="93"/>
    <s v="Los asesores de la Dirección de Fomento Regional  visitó en total 1000 municipios, 31 ciudades capitales y 32 departamentos para realizar acompañamiento y asistencia técnica a la institucionalidad cultural, los creadores y gestores culturales y los consejos de cultura en temas relacionados con procesos de planeación, formulación de proyectos, fuentes de financiación y participación ciudadana. En total se han visitado 1063 de 1134 departamentos y municipios del país para un avance del 93%"/>
    <d v="2019-10-31T13:11:11"/>
    <x v="2"/>
    <x v="0"/>
  </r>
  <r>
    <x v="6"/>
    <x v="1"/>
    <x v="1"/>
    <x v="4"/>
    <x v="4"/>
    <x v="11"/>
    <x v="11"/>
    <n v="1047"/>
    <s v="Número"/>
    <n v="3102"/>
    <s v="246 municipios han girado a Colpensiones la suma de $75.930 millones para asignar a 3.102 creadores y gestores culturales los beneficios de anualidad vitalicia (2.717) y financiación de aportes al Servicio Social Complementario de BEPS (385)."/>
    <d v="2019-12-31T13:11:48"/>
    <x v="5"/>
    <x v="0"/>
  </r>
  <r>
    <x v="6"/>
    <x v="1"/>
    <x v="1"/>
    <x v="4"/>
    <x v="4"/>
    <x v="12"/>
    <x v="12"/>
    <n v="0"/>
    <s v="Número"/>
    <n v="0"/>
    <s v="El resultado de este indicador se analizará en el 2020, cuando los nuevos Alcaldes y Gobernadores incluyan en su Plan de Desarrollo el componente cultural. En esta vigencia, la Dirección de Fomento Regional se encuentra adelantando una metodología denominada Los Acuerdos sociales por la cultura, como un ejercicio de participación que convoca a la ciudadanía y a los aspirantes a las alcaldías acordar acciones estratégicas que favorezcan el acceso de la comunidad a bienes y servicios culturales. Se convierten en un primer paso del proceso de planeación participativa, para la construcción del componente cultural de los futuros planes de desarrollo territoriales."/>
    <d v="2019-10-31T13:12:49"/>
    <x v="0"/>
    <x v="0"/>
  </r>
  <r>
    <x v="2"/>
    <x v="1"/>
    <x v="1"/>
    <x v="5"/>
    <x v="5"/>
    <x v="13"/>
    <x v="13"/>
    <n v="100"/>
    <s v="Porcentaje"/>
    <n v="56"/>
    <s v="Se han suscrito los convenios de asociación: ASOCIACION CONSEJO DE AUTORIDADES DEL PUEBLO WOUNAAN DE COLOMBIA WOUNDEKO por $45.000.000, ONIC por $208.000.000, Consejo Comunitario de Curbaradó por $50.000.000, Resguardo Indígena San Lorenzo por $50.000.000, Consejo Comunitario de Jiguamiando por $30.000.000, Corporación Clepsidra tendiente al cumplimiento de lo ordenado en la Sentencia de Restitución de Tierras 007 de 2014 por $40.000.0000 y Consejo Comunitario de Yurumangui por $65.000.000. De los convenios pendientes, uno se encuentra en proceso de firmas en secretaria general (Consejo Comunitario renacer Negro por $60.040.000) y plan de reparacion colectiva de Bojayá se encuentra en proceso de elaboración del CDP por $50.000.000 el cual requiere documentación soporte. De 9 convenios proyectados se han logrado suscribir 7 lo cual da como resultado de avance en el hito 1 del 39% sobre el 50%. _x000d__x000a_Avance hito 2 Realizar la supervisión de los avances de las acciones establecidas en el convenio, a través de la revisión de informes presentadas por las organizaciones (25%): Realizar la supervisión de los avances de las acciones establecidas en el convenio, a través de la revisión de informes presentadas por las organizaciones (25%). A fecha de corte se ha avanzado en acciones con los siguientes convenios: ASOCIACION CONSEJO DE AUTORIDADES DEL PUEBLO WOUNAAN DE COLOMBIA WOUNDEKO,  ONIC, Consejo Comunitario de Curbaradó, resguardo indígena San Lorenzo, Consejo Comunitario de Jiguamiando y Corporación Clepsidra, es decir que 6 convenios ya tienen acciones adelantadas a la fecha de corte, adicionalmente el consejo comunitario Yurumangui iniciará acciones en el mes de octubre. Estos avances de acciones de los convenios representan un 17% de avance sobre el 25% del hito._x000d__x000a_Avance hito 3:  Gestionar la liquidación de convenios (25%): Este hito está proyectado para cumplirse en el mes de diciembre."/>
    <d v="2019-09-30T18:07:13"/>
    <x v="6"/>
    <x v="0"/>
  </r>
  <r>
    <x v="7"/>
    <x v="1"/>
    <x v="1"/>
    <x v="6"/>
    <x v="6"/>
    <x v="14"/>
    <x v="14"/>
    <n v="16"/>
    <s v="Número"/>
    <n v="17"/>
    <s v="Se finaliza el proceso de acompañamiento técnico de 2019 a los 17 nodos instalados para la formulación de planes de acción interinstitucionales y concertación/actualización de agendas creativas naranja para el 2020, teniendo como resultado la instalación en los municipios de:_x000d__x000a_• 27 de febrero - Ibagué_x000d__x000a_• 2 de abril – Barranquilla_x000d__x000a_• 12 de abril – Bucaramanga_x000d__x000a_• 25 de abril – Neiva_x000d__x000a_• 2 de mayo – Medellín_x000d__x000a_• 7 de mayo - Valledupar_x000d__x000a_• 9 de mayo – Cali_x000d__x000a_• 30 de mayo – Cartagena_x000d__x000a_• 4 de junio - Armenia_x000d__x000a_• 6 de junio - Manizales_x000d__x000a_• 11 de junio - Pereira_x000d__x000a_• 13 de junio - Pasto_x000d__x000a_• 18 de junio – Popayán_x000d__x000a_• 5 de julio – Cúcuta_x000d__x000a_• 16 de julio – Santa Marta_x000d__x000a_• 1 de agosto – Villavicencio_x000d__x000a_• 10 de agosto – Bogotá_x000d__x000a__x000d__x000a_Mediante concertación con la gobernación de Cundinamarca, la Cámara de Comercio de Bogotá, la Alcaldía Mayor de Bogotá y la Secretaría de Cultura; Se realizó una jornada de trabajo en la ciudad de Bogotá el día 19 de junio de 2019, con el fin de realizar la instalación del Nodo de Economía Naranja a través de una reunión de trabajo con instituciones públicas, sector academia y emprendedores-empresarios del sector cultural. Así mismo, En el marco de la mesa del nodo, y con el liderazgo del Ministerio de Cultura, se gestionó la firma del PACTO PARA EL FORTALECIMIENTO DE LA ECONOMÍA NARANJA BOGOTÁ – CUNDINAMARCA, para el fortalecimiento, sostenibilidad y crecimiento de la Economía Naranja en Bogotá – Cundinamarca entre los años 2019 – 2022. _x000d__x000a__x000d__x000a_Lo anterior dió pie a la instalación de un nodo adicional a la meta, el cual se realizó en la ciudad de Bogotá"/>
    <d v="2019-12-31T09:51:44"/>
    <x v="7"/>
    <x v="0"/>
  </r>
  <r>
    <x v="7"/>
    <x v="1"/>
    <x v="1"/>
    <x v="6"/>
    <x v="6"/>
    <x v="15"/>
    <x v="15"/>
    <n v="8"/>
    <s v="Número"/>
    <n v="10"/>
    <s v="El operador del proyecto, la Corporación Incluyamos, ha realizado tres encuentros con las Mujeres beneficiarias, dos de ellos subregionales y uno nacional. Los subregionales fueron en Cali y Cartagena y el nacional fue en Guatapé (Antioquia). En total dichos encuentros dejaron experiencias de aprendizajes a las mujeres en mercadeo, atención al cliente, intercambio de saberes culturales, aliados comerciales y estrategias de venta. Fueron vendidos en los circuitos comerciales un total $12.863.000 de las mercancías de las mujeres que ofertan bienes artesanales y de cocinas tradicionales. Se realizaron las piezas gráficas comprendidas en las obligaciones y contrapartidas._x000d__x000a__x000d__x000a_El aumento en la cantidad de colectivos apoyados durante el primer año, correspondió a las dinámicas de la puesta en funcionamiento del convenio con la corporación Incluyamos que permitió ampliar la cobertura de los programas ofrecidos en el caribe y el pacífico y dio cabida a la inclusión de dos colectivos adicionales para la vigencia 2019"/>
    <d v="2019-12-31T09:56:24"/>
    <x v="8"/>
    <x v="0"/>
  </r>
  <r>
    <x v="5"/>
    <x v="1"/>
    <x v="1"/>
    <x v="6"/>
    <x v="6"/>
    <x v="16"/>
    <x v="16"/>
    <n v="1"/>
    <s v="Número"/>
    <n v="0"/>
    <s v="En el mes de mayo se realizará el lanzamiento de la convocatoria de la fase II del programa nacional de estimulos que incluye 2 Becas para la públicación de obra de autoras negras, afrocolombianas, raizales y/o palenqueras. _x000d__x000a_Se tiene previsto que se otorguen estos estimulos en el mes de octubre del 2019._x000d__x000a__x000d__x000a_La convocatoria cerró el 5 de julio del 2019, se presentaron y los resultados que se publicaran el 25 de octubre del 2019. Cada estímulo tiene una cuantía de $12.000.000._x000d__x000a__x000d__x000a_De acuerdo al reporte de Literatura: &quot;la Becas para publicación de obras de autoras afrocolombianas, negras, raizales y/o palenqueras se recibieron 5 propuestas y se rechazaron 2 porque no cumplían con los requisitos. Así las cosas, los jurados revisarán 3 propuestas, de las cuales, finalmente se declararon desiertas. _x000d__x000a__x000d__x000a_El Ministerio cumplió con ofertar las 2 Becas a través del programa Nacional de Estimulos; sinembargo, las obras obras presentadas no cumplieron con los requisitos y criterios del jurado."/>
    <d v="2019-12-31T11:56:31"/>
    <x v="4"/>
    <x v="0"/>
  </r>
  <r>
    <x v="3"/>
    <x v="1"/>
    <x v="1"/>
    <x v="7"/>
    <x v="7"/>
    <x v="17"/>
    <x v="17"/>
    <n v="3"/>
    <s v="Número"/>
    <n v="7"/>
    <s v="Se concertó la siguiente agenda creativa regional:_x000d__x000a_- Cauca, Popayán (Acuerdo de Voluntades firmado en diciembre)._x000d__x000a_En total se logran concertar 7 agendas creativas naranja en el país durante el 2019:_x000d__x000a_- Cesar (acuerdo de voluntades firmado en Julio)_x000d__x000a_- Bogotá (acuerdo de voluntades firmado el 16 de agosto)_x000d__x000a_- Nariño (acuerdo de voluntades firmado el 21 de agosto)_x000d__x000a_- Barranquilla (acuerdo de voluntades firmado el 20 de septiembre)_x000d__x000a_- Cali_x000d__x000a_- Ibagué (acuerdo de voluntades firmado en noviembre)_x000d__x000a__x000d__x000a_Lo anterior corresponde principalmente a la decisión tomada por las anteriores administraciones regionales de cumplir con la firma de acuerdo de voluntades, antes de terminar su periodo de mandato y dejar estipuladas y concertadas las agendas culturales y creativas de cada una de las regiones beneficiadas "/>
    <d v="2019-12-31T15:28:54"/>
    <x v="9"/>
    <x v="1"/>
  </r>
  <r>
    <x v="3"/>
    <x v="1"/>
    <x v="1"/>
    <x v="7"/>
    <x v="7"/>
    <x v="18"/>
    <x v="18"/>
    <n v="1"/>
    <s v="Número"/>
    <n v="4"/>
    <s v="Se realizaron seguimientos permanentes, acompañamiento y solución de inquietudes a la emisión de los Decretos de delimitación de ADN en las ciudades de Medellín y Barranquilla (ciudad a la que se remitieron comentarios al proyecto de Decreto) y Cali (ciudad a la que se remitieron comentarios al proyecto de Resolución)._x000d__x000a__x000d__x000a_Los Decretos de delimitación de las ciudades de Medellín y Barranquilla se firmaron y emitieron por los respectivos alcaldes en la finalización de la vigencia 2019 alcanzando un total de 4 ADN implementadas con sanción de las autoridades de cada ciudad: Medellín, Cali (2), Barranquilla._x000d__x000a__x000d__x000a_El aumento en la meta corresponde principalmente a la responsabilidad que tuvieron las administraciones regionales pasadas a la hora de determinar la implementación de las ADN y firmar los decretos de delimitación de las mismas, antes de terminar el proceso de gobierno."/>
    <d v="2019-12-31T15:28:07"/>
    <x v="3"/>
    <x v="1"/>
  </r>
  <r>
    <x v="0"/>
    <x v="2"/>
    <x v="2"/>
    <x v="8"/>
    <x v="8"/>
    <x v="19"/>
    <x v="19"/>
    <n v="16"/>
    <s v="Número"/>
    <n v="16"/>
    <s v="Desde el proyecto de Fortalecimiento de Capital Humano se aplicó la ruta metodológica que permitió el  diseño de cualificaciones para las tres categorías de la economía naranja así: _x000d__x000a_Categoría 1 artes y patrimonio:   1. Asistencia de escenográfica y de utilería, 2.Diseño y coordinación de escenografía y utilería, 3. Artes circenses, 4.Carpintería de ribera, 5.Maquillaje artístico, 6. Iluminación para las artes escénicas y audiovisuales, 7.Vestuario artístico, 8.Cocina tradicional. 9.Narración.  En Cualificaciones con componentes 1&amp;2 construidos y verificados están: 10.Ejecución e interpretación de la danza, 11. Dirección coreográfica y formación en danza 12.Construcción tradicional con tierra 13. Sonido para espectáculos artísticos _x000d__x000a_Categoría  2 Industrias Creativas: _x000d__x000a_14.Estudios literarios, 15. Animación y promoción a la lectura, 16. Camarografo (Análisis Funcional)_x000d__x000a_Categoría  3 Creaciones funcionales: Se adelanto la etapa A: Caracterización y  B Análisis de Brechas  de Capital Humano, se continuara con la etapa D  en 2020"/>
    <d v="2019-12-31T16:26:31"/>
    <x v="2"/>
    <x v="0"/>
  </r>
  <r>
    <x v="1"/>
    <x v="2"/>
    <x v="2"/>
    <x v="8"/>
    <x v="8"/>
    <x v="20"/>
    <x v="20"/>
    <n v="4251"/>
    <s v="Número"/>
    <n v="4664"/>
    <s v="En lo corrido del año se beneficiaron 4.664 personas por programas de formación artística y cultural, tales como el Plan Nacional de Música para la Convivencia, Teatro circo, Libertad bajo Palabra, diplomado de espejos y cartográficas, de comunicación, diplomado en gestión de proyectos culturales, talleres para productores en cinematografía y de producción de talleres contenidos digitales culturales. De acuerdo con lo anterior se reporta un cumplimiento superior al 100%, con respecto a la meta del indicador._x000d__x000a_Se reportan beneficiarios adicionales a la meta establecida para la vigencia 2019, porque con los recursos desaplazados se realizaron algunas adiciones a los procesos de formación para ampliar cupos, así como la realización del proceso de formación de cartografías y espejos._x000d__x000a_"/>
    <d v="2019-12-31T13:50:28"/>
    <x v="10"/>
    <x v="1"/>
  </r>
  <r>
    <x v="1"/>
    <x v="2"/>
    <x v="2"/>
    <x v="8"/>
    <x v="8"/>
    <x v="21"/>
    <x v="21"/>
    <n v="176272"/>
    <s v="Número"/>
    <n v="187566"/>
    <s v="En lo corrido del año se beneficiaron 187.566 Niños y jóvenes por medio de programas y procesos artísticos y culturales, tales como Plan Nacional de Danza, Plan Nacional de Música para la convivencia y el Programa música para la reconciliación. De acuerdo con lo anterior se reporta un cumplimiento superior al 100%, con respecto a la meta del indicador._x000d__x000a__x000d__x000a_Se reportan beneficiarios adicionales a la meta establecida para la vigencia 2019, porque gracias al acompañamiento y al apoyo brindado por la Dirección de Artes a las escuelas municipales de música y danza se ha logrado que estas brinden y amplíen la oferta en los procesos dirigidos a niños y jóvenes, por otro lado es importante mencionar que al mismo tiempo se logró la totalidad del registro de los beneficiarios de la oferta artística y cultural de las escuelas municipales de música en el Sistema de Información Musical – SIIMUS (en vigencias anteriores no se había logrado la totalidad del registro)."/>
    <d v="2019-12-31T16:09:53"/>
    <x v="11"/>
    <x v="0"/>
  </r>
  <r>
    <x v="8"/>
    <x v="2"/>
    <x v="2"/>
    <x v="8"/>
    <x v="8"/>
    <x v="22"/>
    <x v="22"/>
    <n v="4"/>
    <s v="Número"/>
    <n v="16"/>
    <s v="La meta este indicador se había estimado de acuerdo al plan de acción de la Dirección de Cinematografía, donde se tenía previsto desarrollar el acompañamiento a (4) municipios conforme a los recursos técnicos disponibles para tal fin. No obstante, posteriormente, desde la Dirección de Cinematografía del Ministerio de Cultura en el marco Consejo Nacional de las Artes y la Cultura en Cinematografía (CNACC), el cual es presidido por el Ministerio de Cultura, en el mes de marzo de 2019 se llevó la propuesta de acompañar municipios en estrategias de circulación y formación de públicos en cine colombiano, con el fin de gestionar más recursos y ampliar el alcance de la propuesta. _x000d__x000a_En este sentido, el CNACC aprobó una estrategia para 16 municipios, financiada con recursos del Fondo para el Desarrollo Cinematográfico (FDC) a través del desarrollo de una gran temporada de cine colombiano, la Temporada Cine Crea Colombia, en la que además se vincularon plataformas como Retina Latina y otros medios de difusión y exhibición de cine colombiano.  _x000d__x000a_"/>
    <d v="2019-12-31T16:06:30"/>
    <x v="3"/>
    <x v="0"/>
  </r>
  <r>
    <x v="9"/>
    <x v="2"/>
    <x v="2"/>
    <x v="8"/>
    <x v="8"/>
    <x v="23"/>
    <x v="23"/>
    <n v="10"/>
    <s v="Número"/>
    <n v="10"/>
    <s v="_x000d__x000a_A la fecha se ha fortalecido  1 colectivo de Comunicación en Montes de María -Encuentro de Comunicación realizado el   donde se intercambiaron experiencias y se fortalecieron los procesos de comunicación_x000d__x000a_ &quot;Colectivo de Comunicación Monte de María Linea 21&quot;_x000d__x000a__x000d__x000a_Los ganadores  de la  primera fase de la Convocatoria &quot;Becas de Comunicación y Territorio&quot;   fuerón los siguientes colectivos de comunciación:_x000d__x000a__x000d__x000a_2. Resguardo Indígena Páez de Corinto_x000d__x000a_3. Resguardo Indígena Arhuaco de la Sierra Nevada_x000d__x000a_4.Cabildo Indígena de Pastás_x000d__x000a_5. Asociación Agropecuaria Vereda de Chapacual_x000d__x000a_6. Asociación Campesina de Inzá Tierradentro_x000d__x000a_7. Asociación Agrocomunitaria el Porvenir_x000d__x000a_8. Asociación de Comunicadores de Nuquí &quot; Colectivo EN PUJA&quot;_x000d__x000a_9. Asociación de Mujeres Afrodescendientes del Norte del Cauca ASOM_x000d__x000a_10. Colectivo de Comunicaciones Narradoras y Narradores de la Memoria Kucha Suto de San Basilio de Palenque_x000d__x000a__x000d__x000a_La Dirección de Comunicaciones cumplió con el fortalecimiento de los 10 colectivos a través  de asistencia técnica, apoyo a la formación y apoyo a la producción de contenidos mediáticos propios. "/>
    <d v="2019-12-31T16:09:11"/>
    <x v="2"/>
    <x v="0"/>
  </r>
  <r>
    <x v="5"/>
    <x v="2"/>
    <x v="2"/>
    <x v="8"/>
    <x v="8"/>
    <x v="24"/>
    <x v="24"/>
    <n v="1"/>
    <s v="Número"/>
    <n v="1"/>
    <s v="El avance cualitativo corresponde al diseño de la estrategia del Programa Mujeres Afro, que según establecido en la ficha tecnica corresponde al 10%_x000d__x000a__x000d__x000a_Con corte al 31 de agosto,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octubre del 2019._x000d__x000a__x000d__x000a_Con corte al 30 de septiembre,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noviembre dado que las participantes estaran proceso electorales y la clase del 25 y 26 de octubre se corrió para noviembre del 2019._x000d__x000a__x000d__x000a_El 02 de noviembre se cumplió con el 100% del proceso de formación piloto de Narrativas Afrocomunitarias en Buenaventura. _x000d__x000a__x000d__x000a__x000d__x000a_El 06 de diciembre se realizó la claúsura del piloto de formación en Buenaventura. "/>
    <d v="2019-12-31T11:46:54"/>
    <x v="2"/>
    <x v="0"/>
  </r>
  <r>
    <x v="9"/>
    <x v="2"/>
    <x v="2"/>
    <x v="9"/>
    <x v="9"/>
    <x v="25"/>
    <x v="25"/>
    <n v="250"/>
    <s v="Número"/>
    <n v="256"/>
    <s v="En el marco de los Proyectos liderados por la Dirección de Comunicaciones, se dió cumplimiento con el apoyo  la producción de nuevos contenidos realizados por colectivos de comunicación, Creadores de Contenidos y Niños, ampliandose la oferta de contenidos mediaticos culturales en 256 en formatos audiovisuales,convergentes y sonoros._x000d__x000a__x000d__x000a__x000d__x000a_"/>
    <d v="2019-12-31T15:17:48"/>
    <x v="12"/>
    <x v="1"/>
  </r>
  <r>
    <x v="10"/>
    <x v="2"/>
    <x v="2"/>
    <x v="9"/>
    <x v="9"/>
    <x v="26"/>
    <x v="26"/>
    <n v="80"/>
    <s v="Número"/>
    <n v="104"/>
    <s v="Se cumplio la meta con 104 presentaciones realizadas, donde a la línea base de 40 presentaciones se suman las 64 realizadas en la vigencia 2019 así: 14 conciertos gratuitos realizados en espacios no convencionales de Bogotá y municipios cercanos., 4 conciertos de la Orquesta Sinfónica Nacional de Colombia en la conmemoración del Bicentenario., 4 conciertos familiares y didácticos realizados para la formación de público infantil y juvenil., 3 conciertos y actividades realizadas que permitan aumentar la participación de los profesionales en las prácticas de dirección y composición de música sinfónica., 6 prácticas para integrar la musical de la Orquesta con la puesta escena de opera y ballet con miras a ampliar la oferta artística., 16 presentaciones que fortalecen la alianza estratégica institucional con el Teatro Colón., y 17 presentaciones para difundir el repertorio sinfónico universal y acercar a distintos publicos a la experiencia sinfónica en vivo."/>
    <d v="2019-12-31T16:12:29"/>
    <x v="13"/>
    <x v="0"/>
  </r>
  <r>
    <x v="11"/>
    <x v="2"/>
    <x v="2"/>
    <x v="9"/>
    <x v="9"/>
    <x v="27"/>
    <x v="27"/>
    <n v="230"/>
    <s v="Número"/>
    <n v="263"/>
    <s v="Se da cumplimiento a la meta con 263 funciones realizadas en las salas del Teatro Colón., donde hay 130 funciones de línea base y 133 funciones  realizadas entre el 1 de febrero hasta el 31 de Diciembre de 2019 las cuales fueron: Viaje Barroco (3); Las mujeres de Lorca (3); Violines mágicos de Moscú (2); Revolución Pazcífica (3); Radioteatro, El perro del Hortelano (1); Laurita y las tetas (2); Camargo (2); El libro de Job (2); Macbeth (6); Compañía Nacional de Danza de España (5); El dueño de todas las cosas (3); Toque Colón Espíritu Balanta y estrellas del Timbiquí (1);_x000d__x000a_El dueño de todas las cosas (6); Contrapunto - Así suena Colombia (2); Woyzeck (13); El dueño de todas las cosas (7); Torneo de dramaturgia (7); dueño de todas las cosas (1); Britten (2); Dido y eneas (2); concurso piano (5); Princesa Ligera 2; Un tranvía llamado deseo (19); Ballet Castro Alves (2); Still Reich- Focus compañía de danza (2); Princesa Ligera (6); NHardem y las Hermanas (1); Strauss Capelle (1); Pombo el Musical _x000d__x000a_El sobre cumplimiento de 33 funciones adicionales a las proyectadas se da gracias a la gestión con el sector privado para producir o coproducir funciones adicionales en la vigencia 2019, con el fin de obtener un desempeño sobresaliente."/>
    <d v="2019-12-30T15:51:34"/>
    <x v="14"/>
    <x v="0"/>
  </r>
  <r>
    <x v="8"/>
    <x v="2"/>
    <x v="2"/>
    <x v="10"/>
    <x v="10"/>
    <x v="28"/>
    <x v="28"/>
    <n v="2000000"/>
    <s v="Número"/>
    <n v="2211031"/>
    <s v="2.211.031 visitas hasta diciembre 31 de 2019. La estimación de las visitas de usuarios a los contenidos de la plataforma Retina Latina registradas, se hizo de acuerdo al crecimiento histórico de la plataforma en visitas de usuarios que acceden gratuitamente a ver las películas. Por esa razón, se proyectó que se llegaría a 2.000.0000 a diciembre de 2019. Sin embargo, dado que las visitas de usuarios sufren variaciones de acuerdo a la publicación efectiva de los contenidos y a su acogida, tuvimos un crecimiento en visitas en algunos meses (especialmente el mes de septiembre registró un mayor número de visitas de la media) por lo cual se superó lo proyectado. Es importante entender que la meta no es controlable ni puede ser proyectada con exactitud, dado que es resultado de la interacción efectiva de los usuarios con el proyecto, por lo cual puede sufrir variaciones.  Respecto al tipo de indicador, las visitas de usuarios a la plataforma digital Retina Latina, se refiere a las  visitas al sitio web del proyecto así como a los visionados de las películas que allí se encuentran disponibles de manera gratuita. "/>
    <d v="2019-12-31T18:13:38"/>
    <x v="15"/>
    <x v="0"/>
  </r>
  <r>
    <x v="12"/>
    <x v="2"/>
    <x v="2"/>
    <x v="11"/>
    <x v="11"/>
    <x v="29"/>
    <x v="29"/>
    <n v="0"/>
    <s v="Número"/>
    <n v="0"/>
    <s v="La Meta esta proyectada para el 2020, por lo cual no se reporta avance. _x000d__x000a__x000d__x000a_La fuente de verificación de este indicador es la Encuesta de Consumo Cultural y los reportes se realizarán de acuerdo con el cronograma estadístico del DANE en 2020 y 2022. "/>
    <d v="2019-12-31T10:45:03"/>
    <x v="0"/>
    <x v="0"/>
  </r>
  <r>
    <x v="12"/>
    <x v="2"/>
    <x v="2"/>
    <x v="11"/>
    <x v="11"/>
    <x v="30"/>
    <x v="30"/>
    <n v="0"/>
    <s v="Número"/>
    <n v="0"/>
    <s v="La Meta esta proyectada para el 2020, por lo cual no se reporta avance. _x000d__x000a__x000d__x000a_La fuente de verificación de este indicador es la Encuesta de Consumo Cultural y los reportes se realizarán de acuerdo con el cronograma estadístico del DANE en 2020 y 2022. "/>
    <d v="2019-12-31T10:47:49"/>
    <x v="0"/>
    <x v="0"/>
  </r>
  <r>
    <x v="12"/>
    <x v="2"/>
    <x v="2"/>
    <x v="11"/>
    <x v="11"/>
    <x v="31"/>
    <x v="31"/>
    <n v="2800"/>
    <s v="Número"/>
    <n v="2800"/>
    <s v="Se digitalizaron y subieron a la Biblioteca Digital 121 nuevos libros para un consolidado de 1.500 en diciembre de 2019, cantidad que sumada a la línea base, da un acumulado de 2.800 libros digitales. Incluye la producción digital de 30 títulos de la colección Daniel Samper Ortega._x000d__x000a_Cumpliendo con el indicador en un 100%."/>
    <d v="2019-11-30T10:49:36"/>
    <x v="2"/>
    <x v="1"/>
  </r>
  <r>
    <x v="1"/>
    <x v="2"/>
    <x v="2"/>
    <x v="11"/>
    <x v="11"/>
    <x v="32"/>
    <x v="32"/>
    <n v="750000"/>
    <s v="Número"/>
    <n v="1700038"/>
    <s v=" En MaguaRED se aumentaron las visitas demostrando que la temática sobre patrimonio es de gran interés de nuestros usuarios. Maguaré tuvo un aumento en sus visitas dado el estreno del álbum Lero Lero Candelero de Jorge Velosa y la campaña de difusión en redes sociales y como respuesta también a la activación del Instagram de la EDCPI. En el avance cuantitativo se suman los usuarios del mes de noviembre: 60.123. Los usuarios acumulados en la linea base a 2019 en las plataformas Maguaré y MaguaRED son: 1.700.038 Nuevos usuarios de enero a noviembre de 2019: 590.151                                                                  _x000d__x000a_A la fecha se encuentran alojados y al aire 875 contenidos en MaguaRED y 686 en Maguaré.  "/>
    <d v="2019-11-30T10:58:51"/>
    <x v="16"/>
    <x v="0"/>
  </r>
  <r>
    <x v="12"/>
    <x v="2"/>
    <x v="2"/>
    <x v="11"/>
    <x v="11"/>
    <x v="33"/>
    <x v="33"/>
    <n v="543"/>
    <s v="Número"/>
    <n v="543"/>
    <s v="Se ha dado cumplimiento del 100% a la meta proyectada. _x000d__x000a__x000d__x000a_Se llevaron a cabo 543 asistencias técnicas y 6 adicionales por requerimiento de las regiones, para un acumulado de 549 equivalente al 101,1%. _x000d__x000a_"/>
    <d v="2019-12-31T11:03:38"/>
    <x v="2"/>
    <x v="0"/>
  </r>
  <r>
    <x v="3"/>
    <x v="3"/>
    <x v="3"/>
    <x v="12"/>
    <x v="12"/>
    <x v="34"/>
    <x v="34"/>
    <n v="3"/>
    <s v="Número"/>
    <n v="2"/>
    <s v="1. Desde el Viceministerio de la Creatividad y la Economía Naranja se realizó seguimiento a los proyectos presentados por la Fundación Batuta y a escuela de música EMMAT en el marco de la Resolución 1933-2019 Línea Reactiva de FINDETER._x000d__x000a__x000d__x000a_Y se enviaron los conceptos técnicos favorables correspondientes a la aprobación de dichos proyectos._x000d__x000a_2. Se realizó seguimiento al Viceministerio de Fomento Regional y Patrimonio para la validación y entrega de los prototipos que serán incluidos en el módulo de la Línea Reactiva de FINDETER en el dominio www.economianaranja.gov.co_x000d__x000a__x000d__x000a_Con lo anterior se establecen 2 principales mecanismos de financiación diseñados y puestos en funcionamiento para la vigencia 2019: _x000d__x000a__x000d__x000a_2. Línea Reactiva de Findeter_x000d__x000a_3. Diseño y puesta en marcha de la segunda fase del Programa Nacional de Estímulos (Capítulo Naranja)"/>
    <d v="2019-12-31T15:29:33"/>
    <x v="17"/>
    <x v="0"/>
  </r>
  <r>
    <x v="13"/>
    <x v="3"/>
    <x v="3"/>
    <x v="13"/>
    <x v="13"/>
    <x v="35"/>
    <x v="35"/>
    <n v="10000000000"/>
    <s v="Número"/>
    <n v="11359904293"/>
    <s v="Nov. Se han aprobado $11,359,9, mill. de Gestión de Recursos de Cooperación, los cuales representan el 111,3% de la meta anual de 2019 ( $10,000 mill.) siendo los más representativos los aportes de AECID para formación en  Cocina de la Escuela Taller de Pasto por $525,1 mill."/>
    <d v="2019-11-30T11:53:28"/>
    <x v="18"/>
    <x v="0"/>
  </r>
  <r>
    <x v="6"/>
    <x v="3"/>
    <x v="3"/>
    <x v="13"/>
    <x v="13"/>
    <x v="36"/>
    <x v="36"/>
    <n v="70"/>
    <s v="Número"/>
    <n v="86"/>
    <s v="Según fuente GESPROY con corte a 31 de diciembre, se aprobaron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
    <d v="2019-12-31T13:13:22"/>
    <x v="19"/>
    <x v="0"/>
  </r>
  <r>
    <x v="1"/>
    <x v="4"/>
    <x v="4"/>
    <x v="14"/>
    <x v="14"/>
    <x v="37"/>
    <x v="37"/>
    <n v="1"/>
    <s v="Número"/>
    <n v="1"/>
    <s v="Se presentan los siguinetes avances en el reporte del indicador:_x000d__x000a_* Se identificaron las infraestructuras para la circulación de prácticas artísticas y culturales a través de una encuesta virtual a los agentes enviada a los agentes de danza, teatro y circo._x000d__x000a_ * Se consolidó la información de escenarios de teatro y circo obtenida a través de los programas nacionales de Salas Concertadas y Salas de Danza. _x000d__x000a_"/>
    <d v="2019-12-31T09:44:43"/>
    <x v="2"/>
    <x v="0"/>
  </r>
  <r>
    <x v="5"/>
    <x v="4"/>
    <x v="4"/>
    <x v="14"/>
    <x v="14"/>
    <x v="38"/>
    <x v="38"/>
    <n v="10"/>
    <s v="Número"/>
    <n v="10"/>
    <s v="Con corte al 31 de diciembre las narradoras han participado en 10 circuitos._x000d__x000a__x000d__x000a_"/>
    <d v="2019-12-31T11:53:56"/>
    <x v="2"/>
    <x v="0"/>
  </r>
  <r>
    <x v="1"/>
    <x v="4"/>
    <x v="4"/>
    <x v="14"/>
    <x v="14"/>
    <x v="39"/>
    <x v="39"/>
    <n v="100"/>
    <s v="Número"/>
    <n v="100"/>
    <s v="El sábado 14 de septiembre en la ciudad de Bogotá, se dio apertura al 45SNA en la Galería Santa Fe. El evento que se realizará hasta el 4 de noviembre presenta a 166 artistas, en 11 sedes.  _x000d__x000a__x000d__x000a_https://www.periodicoarteria.com/SNA/Inauguran-Salon-Nacional-de-Artistas "/>
    <d v="2019-12-31T09:45:06"/>
    <x v="2"/>
    <x v="0"/>
  </r>
  <r>
    <x v="14"/>
    <x v="4"/>
    <x v="4"/>
    <x v="15"/>
    <x v="15"/>
    <x v="40"/>
    <x v="40"/>
    <n v="81"/>
    <s v="Número"/>
    <n v="81"/>
    <s v="Al cierre de la vigencia se cumplió con el 100% del indicador (81 infraestructuras = LB 59 + 22 Entregadas vigencia 2019). las entregadas en 2019 fueron: 8 Bibliotecas construidas Bucaramanga Santander, Pueblo Bello Cesar, Inza y Sotara Cauca, Belén Boyacá, Suesca y Zipacón Cundinamarca y Valle de San Juan Tolima, 2 rehabilitaciones Teatro Jardín Antioquia, Centro Coreográfico y Danza en Cali Valle del Cauca, 12 adecuaciones Casa de Cultura de Mahates (San Basilio de Palenque) Bolívar, Biblioteca en Circasia Quindío,  Salones de Danza en Itagúi Antioquia, Mani Casanare, San Jose de Fragua Caquetá, San Bernardo y Tenjo Cund., Candelaria Valle,  Museos de Ocaña Norte de Santander e Inza Cauca , 2 Teatros en Jericó Antioquia y Providencia San Andrés. Adicionalmente se adelantan construcciones de 1 Biblioteca en  Montelíbano Córdoba, 2 Teatros en Quibdó Choco y Támesis Antioquia y 1 Centro Cultural en Santa Marta. Adecuaciones para 1 Casa de Cultura en Buenaventura Valle, 1 Biblioteca en Cúcuta Norte de Santander."/>
    <d v="2019-11-30T15:33:05"/>
    <x v="2"/>
    <x v="1"/>
  </r>
  <r>
    <x v="15"/>
    <x v="4"/>
    <x v="4"/>
    <x v="15"/>
    <x v="15"/>
    <x v="41"/>
    <x v="41"/>
    <n v="0"/>
    <s v="Número"/>
    <n v="0"/>
    <s v=" Se adelantan los cálculos presupuestales para la adecuación, museografía, contrataciones y sostenibilidad del espacio para consolidar el documento técnico. Se dio cumplimiento de acuerdo a lo programado para la vigencia 2019, para el 2020 se dará continuidad a la viabilización para la estructuración del Museo de la Afrocolombianidad."/>
    <d v="2019-07-08T11:35:06"/>
    <x v="0"/>
    <x v="0"/>
  </r>
  <r>
    <x v="15"/>
    <x v="4"/>
    <x v="4"/>
    <x v="15"/>
    <x v="15"/>
    <x v="42"/>
    <x v="42"/>
    <n v="82"/>
    <s v="Número"/>
    <n v="82"/>
    <s v="Los Museos del Ministerio de Cultura dieron cumplimiento a la adecuación y mantenimiento de sus espacios y equipos lo cual permitió realizar exposiciones temporales, rotaciones en las salas permanentes y el desarrollo de una programación educativa y cultural generando apropiación del patrimonio."/>
    <d v="2019-07-08T11:43:11"/>
    <x v="2"/>
    <x v="0"/>
  </r>
  <r>
    <x v="5"/>
    <x v="4"/>
    <x v="4"/>
    <x v="15"/>
    <x v="15"/>
    <x v="43"/>
    <x v="43"/>
    <n v="0"/>
    <s v="Número"/>
    <m/>
    <m/>
    <m/>
    <x v="0"/>
    <x v="0"/>
  </r>
  <r>
    <x v="0"/>
    <x v="5"/>
    <x v="5"/>
    <x v="16"/>
    <x v="16"/>
    <x v="44"/>
    <x v="44"/>
    <n v="6"/>
    <s v="Número"/>
    <n v="6"/>
    <s v="Para el 2019 se cumplió la meta establecida con la postulación de Los conocimientos tradicionales asociados al Barniz de Pasto, Mopa-Mopa (CUAL) cuya decisión de inscripción la tomará la UNESCO en el 2021."/>
    <d v="2019-12-31T15:49:29"/>
    <x v="2"/>
    <x v="1"/>
  </r>
  <r>
    <x v="0"/>
    <x v="5"/>
    <x v="5"/>
    <x v="16"/>
    <x v="16"/>
    <x v="45"/>
    <x v="45"/>
    <n v="1145"/>
    <s v="Número"/>
    <n v="1145"/>
    <s v="A la fecha se han inscrito en la lista representativa  las siguientes manifestaciones y bienes:_x000d__x000a_1. Los conocimientos tradicionales asociados al Barniz de Pasto, Mopa-Mopa.  2. Los Saberes y tradiciones asociadas al Viche - Biche del Pacifico.  _x000d__x000a_3. PES de la manifestación de la Semana Santa de Ciénaga de Oro, Córdoba 4. La pesca artesanal en el río Magdalena.- _x000d__x000a__x000d__x000a_A la fecha se cumple la meta con los  4 Bienes y manifestaciones inscritos en las Listas Representativas de Patrimonio Cultural Inmaterial y de Bienes de Interés Cultural (Unesco y Nacional)."/>
    <d v="2019-12-31T15:50:53"/>
    <x v="2"/>
    <x v="1"/>
  </r>
  <r>
    <x v="1"/>
    <x v="5"/>
    <x v="5"/>
    <x v="16"/>
    <x v="16"/>
    <x v="46"/>
    <x v="46"/>
    <n v="2"/>
    <s v="Número"/>
    <n v="2"/>
    <s v="En la vigencia 2019, se ejecutó el Programa Expedición Sensorial, en las regiones de Montes de María y Catatumbo, en donde se destacan las siguientes acciones: Montes de María: la existencia de productos y contenidos artísticos con potencial de circulación, tales como la producción discográfica Maestros y Juglares; la obra de creación colectiva Mako: Retorno sin fuego; la Exposición Donde Trinan los Mochuelos. Así mismo, desde Expedición se cuenta con 14 iniciativas de gestión cultural y emprendimiento apoyadas en una primera fase. Catatumbo: se logró atender a 30 corregimientos con procesos de formación artística. De otra parte, en la región se destaca el proceso asociativo de las alcaldías municipales a través de Asomunicipios. De esta forma, es importante reforzar los esquemas de articulación con la institucionalidad local. De acuerdo con lo anterior se reporta un cumplimiento de 100%, con respecto a la meta del indicador."/>
    <d v="2019-12-31T10:16:36"/>
    <x v="2"/>
    <x v="1"/>
  </r>
  <r>
    <x v="15"/>
    <x v="5"/>
    <x v="5"/>
    <x v="17"/>
    <x v="17"/>
    <x v="47"/>
    <x v="47"/>
    <n v="12"/>
    <s v="Número"/>
    <n v="12"/>
    <s v="El avance en el Sistema Integrado de Conservación y Restauración (SICRE) se continua realizó en todos los Museos del Ministerio de Cultura de manera permanente para mantener adecuadamente el patrimonio colombiano."/>
    <d v="2019-07-08T11:45:43"/>
    <x v="2"/>
    <x v="0"/>
  </r>
  <r>
    <x v="5"/>
    <x v="5"/>
    <x v="5"/>
    <x v="18"/>
    <x v="18"/>
    <x v="48"/>
    <x v="48"/>
    <n v="100"/>
    <s v="Número"/>
    <n v="100"/>
    <s v="Al cierre de la vigencia 2019 se formularon y ejecutaron la totalidad de los eventos conmemorativos al bicentenario. "/>
    <d v="2019-12-31T17:27:30"/>
    <x v="2"/>
    <x v="0"/>
  </r>
  <r>
    <x v="1"/>
    <x v="5"/>
    <x v="5"/>
    <x v="18"/>
    <x v="18"/>
    <x v="49"/>
    <x v="49"/>
    <n v="800000"/>
    <s v="Número"/>
    <n v="800000"/>
    <s v="Se entregaron 800.000 ejemplares de los dos títulos de &quot;Historias de la historia de Colombia&quot; que hacen parte de la serie Leer es mi cuento (400.000 de cada título).Estos ejemplares se distribuyeron a nivel nacional con destino a los centros musicales de la Fundación Nacional Batuta donde se implementa el programa Música para la Reconciliación, Ferias Regionales  del libro apoyadas por el Ministerio de Cultura, instituciones educativas, escuelas municipales de música y danza, salas de lectura y bibliotecas inscritas en la campaña Leer es mi cuento en la Biblioteca."/>
    <d v="2019-12-31T10:18:19"/>
    <x v="2"/>
    <x v="0"/>
  </r>
  <r>
    <x v="0"/>
    <x v="5"/>
    <x v="5"/>
    <x v="19"/>
    <x v="19"/>
    <x v="50"/>
    <x v="50"/>
    <n v="11"/>
    <s v="Número"/>
    <n v="11"/>
    <s v="Se creó la escuela taller en villa del rosario y se formuló el proceso de formacion en jardineria con el apoyo de la escuela talle de cali. _x000d__x000a__x000d__x000a_Con esta creación se cumple la meta establecida para el 2019."/>
    <d v="2019-12-31T15:42:05"/>
    <x v="2"/>
    <x v="0"/>
  </r>
  <r>
    <x v="0"/>
    <x v="5"/>
    <x v="5"/>
    <x v="19"/>
    <x v="19"/>
    <x v="51"/>
    <x v="51"/>
    <n v="21"/>
    <s v="Número"/>
    <n v="21"/>
    <s v="En el 2019 se implementaron los  21 talleres escuela asi:_x000d__x000a_1.Taller Escuela en Lutheria en Carmelo- Choco_x000d__x000a_2.Taller Escuela en madera jose felix en Quibdo- Choco _x000d__x000a_3.Taller Escuela en Cantos de llano - Arauca _x000d__x000a_4.Taller Escuela Cantos de llano - Meta _x000d__x000a_5.Taller Escuela en carpinteria en Tunja_x000d__x000a_6.Taller Escuela en linotipía  en Tunja_x000d__x000a_7.Taller Escuela en tipos de madera en Tunja  _x000d__x000a_8.Taller Escuela en cestería en Puerto Nariño- Amazonas _x000d__x000a_9.Taller Escuela en ebanisteria en Puerto Nariño-Amazonas. _x000d__x000a_10.Taller Escuela en atarrayas tejidas a mano en la montañita en caqueta. _x000d__x000a_11.Taller Escuela en producción grafica  en Cali- valle del Cauca. _x000d__x000a_12.Taller Escuela en Violines Caucanos en Patia- Cauca. _x000d__x000a_13.Taller Escuela en marimba de chonta en Guapi  Cauca.  _x000d__x000a_14.Taller Escuela en viche  en Tumaco. _x000d__x000a_15.Taller Escuela en tejido telar vertical  en san Jacinto Bolivar _x000d__x000a_Se implementaron  seis (6) talleres escuela en oficios tradicionales en Guapi, Timbiqui, Lopez de Micay,Villa Garzon,  Puerto Asis,Tumaco"/>
    <d v="2019-12-31T15:44:02"/>
    <x v="2"/>
    <x v="1"/>
  </r>
  <r>
    <x v="0"/>
    <x v="5"/>
    <x v="5"/>
    <x v="20"/>
    <x v="20"/>
    <x v="52"/>
    <x v="52"/>
    <n v="55"/>
    <s v="Número"/>
    <n v="55"/>
    <s v="El 7 de noviembre se presentó ante Consejo Nacional de Patrimonio Cultural, el Plan Especial de Manejo y Protección - PEMP de Concepción en Antioquia, el cual tuvo concepto favorable. Actualmente, se encuentra en elaboración el borrador de la resolución de aprobación._x000d__x000a__x000d__x000a_El 6 de diciembre se presentó ante el Consejo Nacional de Patrimonio Cultural el PEMP de Mongui en Boyacá, el cual tuvo concepto favorable. Actualmente, se encuentra en elaboración el borrador de la resolución de aprobación. _x000d__x000a__x000d__x000a_Cumpliendo así con la meta establecida para la vigencia."/>
    <d v="2019-12-31T15:55:23"/>
    <x v="2"/>
    <x v="1"/>
  </r>
  <r>
    <x v="0"/>
    <x v="5"/>
    <x v="5"/>
    <x v="20"/>
    <x v="20"/>
    <x v="53"/>
    <x v="53"/>
    <n v="67"/>
    <s v="Número"/>
    <n v="67"/>
    <s v="En la vigencia 2019 se intervinieron 6 obras las cuales se relacionan a continuación:_x000d__x000a_1. Intervención de la Hacienda Cañas Gordas (100%) _x000d__x000a_2. Intervención al Monumento Los Lanceros de Rondón Pantano de Vargas, Paipa Boyacá (100%)._x000d__x000a_3. Restauración de los monumentos del Puente de Boyacá: El Obelisco y el Monumento al Libertador (100%) _x000d__x000a_4. Restauración de la capilla de Nuestra Señora de las Mercedes en el Centro Histórico de Salamina Caldas (100%)._x000d__x000a_5. Casa Eduardo Santos, Tunja Boyacá (100%)._x000d__x000a_6. Restauración integral de las ruinas del inmueble ubicado en la carrera 7 n°. 6B-30 /fragmentos (100%)._x000d__x000a_Cumpliendo así con la meta establecida para la vigencia."/>
    <d v="2019-12-31T15:57:14"/>
    <x v="2"/>
    <x v="1"/>
  </r>
  <r>
    <x v="12"/>
    <x v="6"/>
    <x v="6"/>
    <x v="21"/>
    <x v="21"/>
    <x v="54"/>
    <x v="54"/>
    <n v="150"/>
    <s v="Número"/>
    <n v="150"/>
    <s v="Se implementó la Fase I en 150 bibliotecas públicas de 25 departamentos (266 Bibliotecas públicas postuladas) así:  i) acompañamiento técnico y formativo con 3 visitas presenciales y 2 encuentros para bibliotecarios y agentes comunitarios (108 bibliotecarios en el proceso de socialización del programa, 150 bibliotecas y comunidades rurales en el proceso formativo presencial por parte de los tutores y promotores de lectura, más de 11.000 asistencias a las actividades con la comunidad, 296 mediadores comunitarios para las Bibliotecas Rurales Itinerantes asistentes en los 7 encuentros regionales. ii) Dotación bibliográfica y tecnológica: Se realizó el proceso de adquisición, alistamiento  y entrega de la colección bibliográficas.conformada por 131 títulos, otros recursos didácticos, 3 guías metodológicas,una maleta y elementos técnológicos. iii) Incentivos estrategias de itinerancia a 145 Bibliotecas Rurales Itinerantes._x000d__x000a_Cumpliendo con el indicador en un 100%."/>
    <d v="2019-12-31T11:12:31"/>
    <x v="2"/>
    <x v="1"/>
  </r>
  <r>
    <x v="15"/>
    <x v="6"/>
    <x v="6"/>
    <x v="21"/>
    <x v="21"/>
    <x v="55"/>
    <x v="55"/>
    <n v="8"/>
    <s v="Número"/>
    <n v="8"/>
    <s v="Se dió cumplimiento con la itinerancia de la estrategia de exposiciones y materiales didácticos itinerantes del Museo Nacional, Museos Colonial, Santa Clara, Independencia y Quinta de Bolívar a los centros culturales del Banco de la República programados. Se concretó con la dirección de Fomento la ampliación de cobertura a Inírida y se llegó con los materiales itinerantes al centro cultural del Banco de la República en Neiva y en Florencia. _x000a_Por otra parte se acordó con las bibliotecas públicas de Susa y  Baranoa la utilización de la exposición, la sala y la maleta viajera a partir de noviembre hasta el año 2020."/>
    <d v="2019-07-08T11:48:18"/>
    <x v="2"/>
    <x v="1"/>
  </r>
  <r>
    <x v="16"/>
    <x v="6"/>
    <x v="6"/>
    <x v="22"/>
    <x v="22"/>
    <x v="56"/>
    <x v="56"/>
    <n v="4350"/>
    <s v="Número"/>
    <n v="4350"/>
    <s v="Con corte a Diciembre 31 de 2019, se apoyaron a través del PNCC 4.350 proyectos y actividades culturales. De los 4.350 proyectos y actividades culturales:_x000d__x000a_* 2.138 se apoyaron mediante convocatoria pública por las siguientes líneas de acción: _x000d__x000a_L1 Leer es mi cuento, 72 proyectos; _x000d__x000a_L2 Actividades artísticas y culturales de duración limitada, 773 proyectos;_x000d__x000a_L3 Fortalecimiento de espacios culturales, 205 proyectos;_x000d__x000a_L4 Programas de formación artística y cultural, 742 proyectos; _x000d__x000a_L5 Emprendimiento cultural, 53 proyectos;_x000d__x000a_L6 Circulación artística a escala nacional, 72 proyectos; _x000d__x000a_L7 Fortalecimiento cultural a contextos poblacionales específicos, 175 proyectos y,_x000d__x000a_L8 Igualdad de oportunidades culturales para la población en situación de discapacidad, 46 proyectos._x000d__x000a_* 100 Salas concertadas_x000d__x000a_* y 62 proyectos y actividades artísticas, en: Ant. 9, Atlan. 1, San Andrés 1,  Btá. 14, Bol. 3, Cal. 2, Cau. 1, Cho. 2, Cund. 3, Huila 4, Internal. 1, Nal. 7, Nariño 1, Nte. Sant. 1, Sant. 2, Tol. 1 y Valle 9._x000d__x000a_* 2.050 corresponden a la línea base del indicador."/>
    <d v="2019-12-31T14:50:28"/>
    <x v="2"/>
    <x v="1"/>
  </r>
  <r>
    <x v="16"/>
    <x v="6"/>
    <x v="6"/>
    <x v="22"/>
    <x v="22"/>
    <x v="57"/>
    <x v="57"/>
    <n v="20"/>
    <s v="Número"/>
    <n v="20"/>
    <s v="Con corte a Noviembre 30 de 2019, producto de las reuniones concertadas entre las Direcciones y áreas y el Programa Nacional de Concertación Cultural, se identificaron los proyectos a los cuales se les hizo seguimiento según los lineamientos estratégicos de cada una, así:_x000d__x000a__x000d__x000a_Dirección de Artes: 316_x000d__x000a_Dirección de Cinematografía: 10_x000d__x000a_Dirección de Patrimonio: 13_x000d__x000a_Dirección de Poblaciones: 13_x000d__x000a_Dirección de Comunicaciones: 12_x000d__x000a_Dirección de Fomento Regional: 59_x000d__x000a_Museo Nacional: 5_x000d__x000a__x000d__x000a_Para un total de: 428"/>
    <d v="2019-12-31T15:04:30"/>
    <x v="2"/>
    <x v="0"/>
  </r>
  <r>
    <x v="17"/>
    <x v="6"/>
    <x v="6"/>
    <x v="22"/>
    <x v="22"/>
    <x v="58"/>
    <x v="58"/>
    <n v="1945"/>
    <s v="Número"/>
    <n v="1801"/>
    <s v="En la vigencia 2019, se abrieron 207 convocatorias, a las cuales se presentaron 10.017 participantes con 6.298 propuestas de los 32 departamentos del país y de colombianos residentes en el exterior. Así mismo, se han publicado resultados de 207 convocatorias, con 930 estímulos otorgados por un valor de $16.904 millones. Para un total de 1.801 estímulos otorgados, incluyendo la linea base del indicador (871)._x000d__x000a_Dado que hubo convocatorias declaradas desiertas, por ausencia de proponentes, por incumplimiento de requisitos y la no delegación de ganadores suplentes; no fue posible cumplir con la meta establecida para el año 2019, quedando pendiente por otorgar 144 estímulos (meta rezagada)."/>
    <d v="2019-12-31T11:46:03"/>
    <x v="20"/>
    <x v="1"/>
  </r>
  <r>
    <x v="17"/>
    <x v="6"/>
    <x v="6"/>
    <x v="22"/>
    <x v="22"/>
    <x v="59"/>
    <x v="59"/>
    <n v="100"/>
    <s v="Número"/>
    <n v="102"/>
    <s v="Al cierre de la vigencia 2019, el número de estímulos otorgados por el PNE, priorizados con seguimiento fue de 102."/>
    <d v="2019-12-31T11:47:12"/>
    <x v="21"/>
    <x v="0"/>
  </r>
  <r>
    <x v="0"/>
    <x v="6"/>
    <x v="6"/>
    <x v="23"/>
    <x v="23"/>
    <x v="60"/>
    <x v="60"/>
    <n v="1"/>
    <s v="Número"/>
    <n v="1"/>
    <s v="Para el 2019, se creó la escuela taller naranja y va a estar ubicada en cartagena bolívar quien se encuentra adelantando los procedimientos para la comercializacion con las demas escuelas taller._x000d__x000a_Con esta creación se cumple la meta establecida para el 2019"/>
    <d v="2019-12-31T16:00:49"/>
    <x v="2"/>
    <x v="0"/>
  </r>
  <r>
    <x v="0"/>
    <x v="6"/>
    <x v="6"/>
    <x v="23"/>
    <x v="23"/>
    <x v="61"/>
    <x v="61"/>
    <n v="1"/>
    <s v="Número"/>
    <n v="1"/>
    <s v="En el marco del mes de diciembre se realizaron las siguientes actividades: _x000d__x000a__x000d__x000a_-   En el Baluarte de San José se desarrollaron talleres para los aprendices de cocinas de la Escuela Taller, con chefs invitados sobre cocina internacional, y con matronas sobre cocina tradicional. _x000d__x000a__x000d__x000a_Con el desarrollo de la unidad de negocio de cocinas tradicionales internacionales en el baluarte de san jose, se cumple con la meta establecida para el 2019."/>
    <d v="2019-12-31T16:04:00"/>
    <x v="2"/>
    <x v="0"/>
  </r>
  <r>
    <x v="3"/>
    <x v="6"/>
    <x v="6"/>
    <x v="23"/>
    <x v="23"/>
    <x v="62"/>
    <x v="62"/>
    <n v="60"/>
    <s v="Número"/>
    <n v="60"/>
    <s v="El 23 de diciembre finalizan las actividades relacionadas con el convenio 2981-19 con la Corporación Interactuar y se entregan los siguientes productos:_x000d__x000a_- Programa para el fortalecimiento de habilidades gerenciales de emprendedores culturales diseñado_x000d__x000a_- Caracterización de los emprendedores participantes en la implementación del programa._x000d__x000a_- Implementación de los tres módulos (organizacional, mercadeo cultura, gestión financiera) del curso para habilidades gerenciales del programa de fortalecimiento para emprendedores culturales en los siguientes 14 municipios: Uribia, Santa Marta, Valledupar, Apartadó, Quibdó, Buenaventura, Guapi, Pasto, Mocoa, Puerto Asís, Leticia, Inírida, Villavicencio, Yopal_x000d__x000a_- Implementación de los tres módulos (Turismo Sostenible, Normas y técnicas de calidad y Servicio al cliente) del curso de Turismo Cultural del Programa de fortalecimiento para emprendedores culturales en los siguientes 6 municipios: Leticia, Puerto Nariño, Zipaquirá, Sesquilé, Sáchica, Monguí. _x000d__x000a__x000d__x000a_Con lo anterior se realiza la liquidación del convenio beneficiando a un total de 60 participantes en materia de asistencia técnica"/>
    <d v="2019-12-31T15:49:15"/>
    <x v="2"/>
    <x v="0"/>
  </r>
  <r>
    <x v="3"/>
    <x v="6"/>
    <x v="6"/>
    <x v="23"/>
    <x v="23"/>
    <x v="63"/>
    <x v="63"/>
    <n v="50"/>
    <s v="Número"/>
    <n v="373"/>
    <s v=" A 31 de octubre se crearon 498 usuarios en la plataforma economianaranja.gov.co, de los cuales 339 enviaron la _x000d__x000a_1. A 31 de octubre se crearon 498 usuarios en la plataforma www.,economianaranja.gov.co, de los cuales 339 enviaron la documentación necesaria para aplicar al beneficio de rentas exentas por siete años. A 24 de diciembre se evaluaron 339 proyectos. _x000d__x000a_Hasta el momento, 24/12/2019, se han atendido las siguientes solicitudes con relación al Beneficio de Rentas Exentas:_x000d__x000a_en info-economianaranja.gov.co:  10 consultas_x000d__x000a_Vía telefónica: 250_x000d__x000a_PQR: 0_x000d__x000a_Presencial: 2_x000d__x000a__x000d__x000a_A 24 de diciembre se enviaron aproximadamente 600 correos con la comunicación de la DIAN, indicando las nuevas condiciones de la postulación dado el fallo de la Corte Constitucional, también se envió la ratificación de los requisitos mencionados en la comunicación de la DIAN y la solicitud de notificación electrónica del acto administrativo. Además, se realizaron aproximadamente 700 llamadas para dar claridad con la comunicación de la DIAN y las observaciones que hizo el comité a cada proyecto. _x000d__x000a__x000d__x000a_A la fecha se han expedido 84 acto de conformidad aprobados, 89 actos de NO conformidad, 15 proyectos han quedado por aclarar las observaciones dadas por el comité y 153 proyectos desistieron (29 de manera formal con una carta enviada a info-economianaranja.gov.co), para un total de 339 proyectos atendidos._x000d__x000a__x000d__x000a_El aumento de la demanda de empresas que accedieron al sistema de beneficios tributarios correspondió principalmente a los canales de difusión que presentó la oferta y a la expansión de industrias culturales y creatvas y culturales en el territorio nacional y a la inclusión de los 289 certificados de inversión y donación cinematográfica que se expidieron durante el año 2019."/>
    <d v="2019-12-31T15:49:25"/>
    <x v="22"/>
    <x v="0"/>
  </r>
  <r>
    <x v="18"/>
    <x v="7"/>
    <x v="7"/>
    <x v="24"/>
    <x v="24"/>
    <x v="64"/>
    <x v="64"/>
    <n v="60"/>
    <s v="Número"/>
    <n v="60"/>
    <s v="Se realizo un diagnostico por cada Subsistemas para ver su avance con respectos a las normas que los rigen encontrando el siguiente estado:_x000d__x000a_•_x0009_Sistema de Gestión de Calidad ISO 9001:2015: 100%_x000d__x000a_•_x0009_Sistema de Gestión Ambiental ISO 14001:2015: 74%_x000d__x000a_•_x0009_Sistema de Gestión Seguridad de la Información ISO 27001:2013: 57% Controles: 47%_x000d__x000a_•_x0009_Sistema de Gestión Salud y Seguridad en el Trabajo Dec.1072 Resol. 0312: 85%_x000d__x000a__x000d__x000a__x000d__x000a_Con base en este esquema se estableció un plan  de integración el cual se encuentra en un 60% de ejecución de acuerdo con los diagnósticos de cada subsistema y las actividades planificadas para cada uno de los mismos a 31 de diciembre de 2019._x000d__x000a__x000d__x000a__x000d__x000a_"/>
    <d v="2019-12-31T18:36:26"/>
    <x v="2"/>
    <x v="0"/>
  </r>
  <r>
    <x v="18"/>
    <x v="7"/>
    <x v="7"/>
    <x v="25"/>
    <x v="25"/>
    <x v="65"/>
    <x v="65"/>
    <n v="43"/>
    <s v="Número"/>
    <n v="43"/>
    <s v="Se implemento en un 43%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_x000d__x000a__x000d__x000a_En la dimensión de direccionamiento estratégico se generó el análisis de contexto para la Planeación estratégica Institucional, se levantaron los Planes Acción y se documentó los procedimientos para la formulación de estos planes, En la Dimensión de Talento Humano se logro la formulación y cumplimiento del Plan GETH y los Planes de Capacitación, Vacantes, Seguridad Salud y el trabajo, incentivos institucionales y previsión de recursos humanos, así como se divulgo y se socializo a través del evento de carnaval de valores el código de integridad. En la dimensión de Gestión con valores para el resultado, se realizó la evaluación de cada uno de los subsistemas del Sistema Integrado de Gestión logrando identificar las brechas de implementación y se planificaron las actividades que se requieren para reducir dichas brechas.  En la dimensión de Evaluación de resultados se generaron indicadores para cada una de las estrategias establecidas en el PEI y para los 16 procesos y 11 Subprocesos, a través de cuales se adelanta el seguimiento a los avances en las estrategias y al desempeño institucional del Ministerio de Cultura.  En la Dimensión de Control Interno se elaboró la Matriz de Aseguramiento de la tercera línea defensa y se adelanto los seguimientos a través de los círculos de mejora de la segunda línea de defensa.          _x000d__x000a_"/>
    <d v="2019-12-31T18:38:12"/>
    <x v="2"/>
    <x v="0"/>
  </r>
  <r>
    <x v="19"/>
    <x v="7"/>
    <x v="7"/>
    <x v="26"/>
    <x v="26"/>
    <x v="66"/>
    <x v="66"/>
    <n v="100"/>
    <s v="Número"/>
    <n v="99"/>
    <s v="Se han adelantado las auditorias acorde al programa anual de auditorias, vigencia 2019.  Se entregaron los informes resultado de las auditorias internas de gestión realizadas al Subsistma de Salud y Seguridad en el Trabajo y a los Inventarios de Bienes Patrimoniales.  Se dió inicio a la auditoria Interna de Gestión del Programa de Fortalecimiento a Museos.  Se presento el informe consolidado con los resultados de las Auditorias Internas de Gestión realizadas durante el 2019.  Debido a la falta de personal en el  cuarto trimestre no fue posible adelantar todas las auditorias internas programadas, quedo faltando la Auditoria Interna al Programa Nacional de Escuelas Taller y las Cualificaciones"/>
    <d v="2019-10-22T15:21:56"/>
    <x v="23"/>
    <x v="0"/>
  </r>
  <r>
    <x v="20"/>
    <x v="7"/>
    <x v="7"/>
    <x v="27"/>
    <x v="27"/>
    <x v="67"/>
    <x v="67"/>
    <n v="91"/>
    <s v="Porcentaje"/>
    <n v="91"/>
    <s v="El Ministerio cuenta con los equipos apropiados para realizar sus actividades "/>
    <d v="2019-11-05T16:42:35"/>
    <x v="2"/>
    <x v="0"/>
  </r>
  <r>
    <x v="4"/>
    <x v="7"/>
    <x v="7"/>
    <x v="28"/>
    <x v="28"/>
    <x v="68"/>
    <x v="68"/>
    <n v="78"/>
    <s v="Porcentaje"/>
    <n v="89.66"/>
    <s v="El porcentaje corresponde a 29 decisiones de las cuales 26 han sido a favor de la entidad y 3 en contra. "/>
    <d v="2019-12-31T10:48:49"/>
    <x v="24"/>
    <x v="0"/>
  </r>
  <r>
    <x v="21"/>
    <x v="7"/>
    <x v="7"/>
    <x v="29"/>
    <x v="29"/>
    <x v="69"/>
    <x v="69"/>
    <n v="2"/>
    <s v="Número"/>
    <n v="2"/>
    <s v="El Ministerio de Cultura cuenta con con los siguientes instrumentos archivísticos actualizados y publicados en la página web de la entidad: Programa de Gestión Documental  y Banco Terminológico de Series y Subseries Documentales."/>
    <d v="2019-12-31T11:03:17"/>
    <x v="2"/>
    <x v="0"/>
  </r>
  <r>
    <x v="18"/>
    <x v="7"/>
    <x v="7"/>
    <x v="30"/>
    <x v="30"/>
    <x v="70"/>
    <x v="70"/>
    <n v="100"/>
    <s v="Número"/>
    <n v="100"/>
    <s v="Se realizo el seguimiento y monitoreo de las actividades establecidas en el Plan Anticorrupción y de Atención al ciudadano, a través del registro de los avances a 31 de diciembre de los cinco componentes de acuerdo con la evidencia suministrada por los responsables._x000d__x000a_En el seguimiento realizado se pudo evidenciar el siguiente avance en cada uno de los componentes: _x000d__x000a_1._x0009_Mapa de Riesgos de Corrupción 100%_x000d__x000a_2._x0009_Estrategias de Racionalización 58%_x000d__x000a_3._x0009_Rendición de Cuentas en 100%_x000d__x000a_4._x0009_Servicio al ciudadano en un 83% _x000d__x000a_5._x0009_Transparencia. 100%_x000d__x000a__x000d__x000a_Esta información se envió a la Oficina de Control Interno para su evaluación y publicación. _x000d__x000a_"/>
    <d v="2019-12-31T18:32:16"/>
    <x v="2"/>
    <x v="0"/>
  </r>
  <r>
    <x v="22"/>
    <x v="7"/>
    <x v="7"/>
    <x v="31"/>
    <x v="31"/>
    <x v="71"/>
    <x v="71"/>
    <n v="90"/>
    <s v="Porcentaje"/>
    <n v="94"/>
    <s v="Se ejecutaron cuarenta y siete (47) eventos de formación de los cuarenta y cinco (45) que estaban programados dentro del Plan Institucional de Capacitación para la presente vigencia. _x000d__x000a__x000d__x000a_Se desarrollaron dos eventos adicionales de capacitación, el primero, dando cumplimiento a los acuerdos sindicales suscritos en la vigencia 2019, y el segundo, en virtud de la asignación presupuestal para desarrollar el Programa de Auditores Internos en Sistemas Integrado de Gestión, que se aprobó para el segundo semestre del año. "/>
    <d v="2019-12-31T16:39:27"/>
    <x v="25"/>
    <x v="0"/>
  </r>
  <r>
    <x v="22"/>
    <x v="7"/>
    <x v="7"/>
    <x v="31"/>
    <x v="31"/>
    <x v="72"/>
    <x v="72"/>
    <n v="80"/>
    <s v="Número"/>
    <n v="94"/>
    <s v="El 94% de los participantes califico en nivel alto y muy alto los procesos de formación ejecutados y evaluados a la fecha de corte."/>
    <d v="2019-12-31T16:43:17"/>
    <x v="26"/>
    <x v="0"/>
  </r>
  <r>
    <x v="23"/>
    <x v="7"/>
    <x v="7"/>
    <x v="32"/>
    <x v="32"/>
    <x v="73"/>
    <x v="73"/>
    <n v="90.8"/>
    <s v="Porcentaje"/>
    <n v="96"/>
    <s v="Se toma la información del informe de ejecución presupuestal generado en el Sistema de Información Financiera SIIF con corte a 31 de diciembre"/>
    <d v="2019-12-31T16:02:35"/>
    <x v="27"/>
    <x v="0"/>
  </r>
  <r>
    <x v="18"/>
    <x v="7"/>
    <x v="7"/>
    <x v="32"/>
    <x v="32"/>
    <x v="74"/>
    <x v="74"/>
    <n v="100"/>
    <s v="Número"/>
    <n v="100"/>
    <s v="Se realizó el 100% del seguimiento al plan, con el reportes de cierre de ejecución de las metas 2019 del Pla Estrategico institucional."/>
    <d v="2019-12-31T12:05:08"/>
    <x v="2"/>
    <x v="0"/>
  </r>
  <r>
    <x v="24"/>
    <x v="7"/>
    <x v="7"/>
    <x v="32"/>
    <x v="32"/>
    <x v="75"/>
    <x v="75"/>
    <n v="10"/>
    <s v="Porcentaje"/>
    <n v="9"/>
    <s v="El porcentaje de reducción en gastos de logística va en 2.53%, tiquetes el 5.53% y el de viáticos el 20%."/>
    <d v="2019-10-30T15:11:09"/>
    <x v="2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88BFA13-74D8-4B01-B1A7-357FC7BBE1F7}" name="TablaDinámica2" cacheId="15" applyNumberFormats="0" applyBorderFormats="0" applyFontFormats="0" applyPatternFormats="0" applyAlignmentFormats="0" applyWidthHeightFormats="1" dataCaption="Valores" missingCaption="0" updatedVersion="6" minRefreshableVersion="3" itemPrintTitles="1" createdVersion="6" indent="0" compact="0" compactData="0" multipleFieldFilters="0">
  <location ref="A1:G78" firstHeaderRow="0" firstDataRow="1" firstDataCol="4"/>
  <pivotFields count="14">
    <pivotField axis="axisRow" compact="0" outline="0" subtotalTop="0" showAll="0" defaultSubtotal="0">
      <items count="25">
        <item x="12"/>
        <item x="1"/>
        <item x="8"/>
        <item x="9"/>
        <item x="6"/>
        <item x="0"/>
        <item x="2"/>
        <item x="5"/>
        <item x="3"/>
        <item x="20"/>
        <item x="7"/>
        <item x="21"/>
        <item x="23"/>
        <item x="22"/>
        <item x="14"/>
        <item x="13"/>
        <item x="11"/>
        <item x="16"/>
        <item x="17"/>
        <item x="15"/>
        <item x="18"/>
        <item x="4"/>
        <item x="19"/>
        <item x="24"/>
        <item x="10"/>
      </items>
    </pivotField>
    <pivotField axis="axisRow" compact="0" outline="0" subtotalTop="0" showAll="0" defaultSubtotal="0">
      <items count="8">
        <item x="0"/>
        <item x="1"/>
        <item x="2"/>
        <item x="3"/>
        <item x="4"/>
        <item x="5"/>
        <item x="6"/>
        <item x="7"/>
      </items>
    </pivotField>
    <pivotField compact="0" outline="0" subtotalTop="0" showAll="0" defaultSubtotal="0">
      <items count="8">
        <item x="2"/>
        <item x="3"/>
        <item x="0"/>
        <item x="7"/>
        <item x="4"/>
        <item x="5"/>
        <item x="6"/>
        <item x="1"/>
      </items>
    </pivotField>
    <pivotField axis="axisRow" compact="0" outline="0" subtotalTop="0" showAll="0" defaultSubtotal="0">
      <items count="33">
        <item x="1"/>
        <item x="0"/>
        <item x="2"/>
        <item x="4"/>
        <item x="3"/>
        <item x="6"/>
        <item x="7"/>
        <item x="5"/>
        <item x="11"/>
        <item x="8"/>
        <item x="10"/>
        <item x="9"/>
        <item x="12"/>
        <item x="13"/>
        <item x="15"/>
        <item x="14"/>
        <item x="19"/>
        <item x="16"/>
        <item x="20"/>
        <item x="17"/>
        <item x="22"/>
        <item x="23"/>
        <item x="18"/>
        <item x="21"/>
        <item x="32"/>
        <item x="25"/>
        <item x="24"/>
        <item x="26"/>
        <item x="30"/>
        <item x="31"/>
        <item x="27"/>
        <item x="29"/>
        <item x="28"/>
      </items>
    </pivotField>
    <pivotField compact="0" outline="0" subtotalTop="0" showAll="0" defaultSubtotal="0">
      <items count="33">
        <item x="24"/>
        <item x="25"/>
        <item x="3"/>
        <item x="14"/>
        <item x="15"/>
        <item x="8"/>
        <item x="0"/>
        <item x="1"/>
        <item x="26"/>
        <item x="27"/>
        <item x="16"/>
        <item x="4"/>
        <item x="28"/>
        <item x="29"/>
        <item x="30"/>
        <item x="31"/>
        <item x="5"/>
        <item x="6"/>
        <item x="22"/>
        <item x="17"/>
        <item x="23"/>
        <item x="9"/>
        <item x="10"/>
        <item x="2"/>
        <item x="18"/>
        <item x="11"/>
        <item x="32"/>
        <item x="19"/>
        <item x="20"/>
        <item x="21"/>
        <item x="7"/>
        <item x="12"/>
        <item x="13"/>
      </items>
    </pivotField>
    <pivotField axis="axisRow" compact="0" outline="0" subtotalTop="0" showAll="0" defaultSubtotal="0">
      <items count="76">
        <item x="5"/>
        <item x="6"/>
        <item x="0"/>
        <item x="1"/>
        <item x="2"/>
        <item x="3"/>
        <item x="4"/>
        <item x="8"/>
        <item x="10"/>
        <item x="11"/>
        <item x="12"/>
        <item x="9"/>
        <item x="14"/>
        <item x="15"/>
        <item x="17"/>
        <item x="18"/>
        <item x="13"/>
        <item x="29"/>
        <item x="30"/>
        <item x="31"/>
        <item x="32"/>
        <item x="33"/>
        <item x="19"/>
        <item x="20"/>
        <item x="21"/>
        <item x="22"/>
        <item x="23"/>
        <item x="28"/>
        <item x="25"/>
        <item x="26"/>
        <item x="27"/>
        <item x="34"/>
        <item x="35"/>
        <item x="36"/>
        <item x="40"/>
        <item x="41"/>
        <item x="42"/>
        <item x="37"/>
        <item x="50"/>
        <item x="51"/>
        <item x="44"/>
        <item x="45"/>
        <item x="46"/>
        <item x="52"/>
        <item x="53"/>
        <item x="47"/>
        <item x="56"/>
        <item x="57"/>
        <item x="58"/>
        <item x="59"/>
        <item x="60"/>
        <item x="61"/>
        <item x="62"/>
        <item x="54"/>
        <item x="55"/>
        <item x="73"/>
        <item x="74"/>
        <item x="75"/>
        <item x="70"/>
        <item x="64"/>
        <item x="66"/>
        <item x="65"/>
        <item x="71"/>
        <item x="72"/>
        <item x="67"/>
        <item x="69"/>
        <item x="68"/>
        <item x="16"/>
        <item x="38"/>
        <item x="48"/>
        <item x="7"/>
        <item x="63"/>
        <item x="24"/>
        <item x="43"/>
        <item x="39"/>
        <item x="49"/>
      </items>
    </pivotField>
    <pivotField compact="0" outline="0" subtotalTop="0" showAll="0" defaultSubtotal="0">
      <items count="76">
        <item x="18"/>
        <item x="54"/>
        <item x="52"/>
        <item x="67"/>
        <item x="38"/>
        <item x="37"/>
        <item x="23"/>
        <item x="15"/>
        <item x="26"/>
        <item x="11"/>
        <item x="9"/>
        <item x="66"/>
        <item x="41"/>
        <item x="4"/>
        <item x="49"/>
        <item x="45"/>
        <item x="62"/>
        <item x="63"/>
        <item x="10"/>
        <item x="33"/>
        <item x="12"/>
        <item x="60"/>
        <item x="50"/>
        <item x="42"/>
        <item x="58"/>
        <item x="59"/>
        <item x="27"/>
        <item x="40"/>
        <item x="6"/>
        <item x="69"/>
        <item x="34"/>
        <item x="31"/>
        <item x="44"/>
        <item x="7"/>
        <item x="13"/>
        <item x="22"/>
        <item x="14"/>
        <item x="43"/>
        <item x="21"/>
        <item x="71"/>
        <item x="65"/>
        <item x="64"/>
        <item x="72"/>
        <item x="25"/>
        <item x="39"/>
        <item x="20"/>
        <item x="16"/>
        <item x="24"/>
        <item x="1"/>
        <item x="3"/>
        <item x="47"/>
        <item x="48"/>
        <item x="2"/>
        <item x="73"/>
        <item x="68"/>
        <item x="75"/>
        <item x="29"/>
        <item x="30"/>
        <item x="5"/>
        <item x="57"/>
        <item x="36"/>
        <item x="56"/>
        <item x="46"/>
        <item x="8"/>
        <item x="51"/>
        <item x="0"/>
        <item x="61"/>
        <item x="32"/>
        <item x="35"/>
        <item x="28"/>
        <item x="17"/>
        <item x="19"/>
        <item x="53"/>
        <item x="55"/>
        <item x="70"/>
        <item x="74"/>
      </items>
    </pivotField>
    <pivotField dataField="1" compact="0" numFmtId="3" outline="0" subtotalTop="0" multipleItemSelectionAllowed="1"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dataField="1" compact="0" numFmtId="9" outline="0" subtotalTop="0" multipleItemSelectionAllowed="1" showAll="0" defaultSubtotal="0"/>
    <pivotField compact="0" outline="0" subtotalTop="0" showAll="0" defaultSubtotal="0">
      <items count="2">
        <item x="1"/>
        <item x="0"/>
      </items>
    </pivotField>
  </pivotFields>
  <rowFields count="4">
    <field x="1"/>
    <field x="3"/>
    <field x="5"/>
    <field x="0"/>
  </rowFields>
  <rowItems count="77">
    <i>
      <x/>
      <x/>
      <x/>
      <x v="21"/>
    </i>
    <i r="2">
      <x v="1"/>
      <x v="21"/>
    </i>
    <i r="2">
      <x v="70"/>
      <x v="8"/>
    </i>
    <i r="1">
      <x v="1"/>
      <x v="2"/>
      <x v="5"/>
    </i>
    <i r="2">
      <x v="3"/>
      <x v="5"/>
    </i>
    <i r="2">
      <x v="4"/>
      <x v="1"/>
    </i>
    <i r="2">
      <x v="5"/>
      <x v="6"/>
    </i>
    <i r="2">
      <x v="6"/>
      <x v="8"/>
    </i>
    <i r="1">
      <x v="2"/>
      <x v="7"/>
      <x v="8"/>
    </i>
    <i>
      <x v="1"/>
      <x v="3"/>
      <x v="8"/>
      <x v="4"/>
    </i>
    <i r="2">
      <x v="9"/>
      <x v="4"/>
    </i>
    <i r="2">
      <x v="10"/>
      <x v="4"/>
    </i>
    <i r="1">
      <x v="4"/>
      <x v="11"/>
      <x v="7"/>
    </i>
    <i r="1">
      <x v="5"/>
      <x v="12"/>
      <x v="10"/>
    </i>
    <i r="2">
      <x v="13"/>
      <x v="10"/>
    </i>
    <i r="2">
      <x v="67"/>
      <x v="7"/>
    </i>
    <i r="1">
      <x v="6"/>
      <x v="14"/>
      <x v="8"/>
    </i>
    <i r="2">
      <x v="15"/>
      <x v="8"/>
    </i>
    <i r="1">
      <x v="7"/>
      <x v="16"/>
      <x v="6"/>
    </i>
    <i>
      <x v="2"/>
      <x v="8"/>
      <x v="17"/>
      <x/>
    </i>
    <i r="2">
      <x v="18"/>
      <x/>
    </i>
    <i r="2">
      <x v="19"/>
      <x/>
    </i>
    <i r="2">
      <x v="20"/>
      <x v="1"/>
    </i>
    <i r="2">
      <x v="21"/>
      <x/>
    </i>
    <i r="1">
      <x v="9"/>
      <x v="22"/>
      <x v="5"/>
    </i>
    <i r="2">
      <x v="23"/>
      <x v="1"/>
    </i>
    <i r="2">
      <x v="24"/>
      <x v="1"/>
    </i>
    <i r="2">
      <x v="25"/>
      <x v="2"/>
    </i>
    <i r="2">
      <x v="26"/>
      <x v="3"/>
    </i>
    <i r="2">
      <x v="72"/>
      <x v="7"/>
    </i>
    <i r="1">
      <x v="10"/>
      <x v="27"/>
      <x v="2"/>
    </i>
    <i r="1">
      <x v="11"/>
      <x v="28"/>
      <x v="3"/>
    </i>
    <i r="2">
      <x v="29"/>
      <x v="24"/>
    </i>
    <i r="2">
      <x v="30"/>
      <x v="16"/>
    </i>
    <i>
      <x v="3"/>
      <x v="12"/>
      <x v="31"/>
      <x v="8"/>
    </i>
    <i r="1">
      <x v="13"/>
      <x v="32"/>
      <x v="15"/>
    </i>
    <i r="2">
      <x v="33"/>
      <x v="4"/>
    </i>
    <i>
      <x v="4"/>
      <x v="14"/>
      <x v="34"/>
      <x v="14"/>
    </i>
    <i r="2">
      <x v="35"/>
      <x v="19"/>
    </i>
    <i r="2">
      <x v="36"/>
      <x v="19"/>
    </i>
    <i r="2">
      <x v="73"/>
      <x v="7"/>
    </i>
    <i r="1">
      <x v="15"/>
      <x v="37"/>
      <x v="1"/>
    </i>
    <i r="2">
      <x v="68"/>
      <x v="7"/>
    </i>
    <i r="2">
      <x v="74"/>
      <x v="1"/>
    </i>
    <i>
      <x v="5"/>
      <x v="16"/>
      <x v="38"/>
      <x v="5"/>
    </i>
    <i r="2">
      <x v="39"/>
      <x v="5"/>
    </i>
    <i r="1">
      <x v="17"/>
      <x v="40"/>
      <x v="5"/>
    </i>
    <i r="2">
      <x v="41"/>
      <x v="5"/>
    </i>
    <i r="2">
      <x v="42"/>
      <x v="1"/>
    </i>
    <i r="1">
      <x v="18"/>
      <x v="43"/>
      <x v="5"/>
    </i>
    <i r="2">
      <x v="44"/>
      <x v="5"/>
    </i>
    <i r="1">
      <x v="19"/>
      <x v="45"/>
      <x v="19"/>
    </i>
    <i r="1">
      <x v="22"/>
      <x v="69"/>
      <x v="7"/>
    </i>
    <i r="2">
      <x v="75"/>
      <x v="1"/>
    </i>
    <i>
      <x v="6"/>
      <x v="20"/>
      <x v="46"/>
      <x v="17"/>
    </i>
    <i r="2">
      <x v="47"/>
      <x v="17"/>
    </i>
    <i r="2">
      <x v="48"/>
      <x v="18"/>
    </i>
    <i r="2">
      <x v="49"/>
      <x v="18"/>
    </i>
    <i r="1">
      <x v="21"/>
      <x v="50"/>
      <x v="5"/>
    </i>
    <i r="2">
      <x v="51"/>
      <x v="5"/>
    </i>
    <i r="2">
      <x v="52"/>
      <x v="8"/>
    </i>
    <i r="2">
      <x v="71"/>
      <x v="8"/>
    </i>
    <i r="1">
      <x v="23"/>
      <x v="53"/>
      <x/>
    </i>
    <i r="2">
      <x v="54"/>
      <x v="19"/>
    </i>
    <i>
      <x v="7"/>
      <x v="24"/>
      <x v="55"/>
      <x v="12"/>
    </i>
    <i r="2">
      <x v="56"/>
      <x v="20"/>
    </i>
    <i r="2">
      <x v="57"/>
      <x v="23"/>
    </i>
    <i r="1">
      <x v="25"/>
      <x v="61"/>
      <x v="20"/>
    </i>
    <i r="1">
      <x v="26"/>
      <x v="59"/>
      <x v="20"/>
    </i>
    <i r="1">
      <x v="27"/>
      <x v="60"/>
      <x v="22"/>
    </i>
    <i r="1">
      <x v="28"/>
      <x v="58"/>
      <x v="20"/>
    </i>
    <i r="1">
      <x v="29"/>
      <x v="62"/>
      <x v="13"/>
    </i>
    <i r="2">
      <x v="63"/>
      <x v="13"/>
    </i>
    <i r="1">
      <x v="30"/>
      <x v="64"/>
      <x v="9"/>
    </i>
    <i r="1">
      <x v="31"/>
      <x v="65"/>
      <x v="11"/>
    </i>
    <i r="1">
      <x v="32"/>
      <x v="66"/>
      <x v="21"/>
    </i>
    <i t="grand">
      <x/>
    </i>
  </rowItems>
  <colFields count="1">
    <field x="-2"/>
  </colFields>
  <colItems count="3">
    <i>
      <x/>
    </i>
    <i i="1">
      <x v="1"/>
    </i>
    <i i="2">
      <x v="2"/>
    </i>
  </colItems>
  <dataFields count="3">
    <dataField name="Meta_19" fld="7" baseField="13" baseItem="0" numFmtId="3"/>
    <dataField name="Avan_19" fld="9" baseField="13" baseItem="0" numFmtId="3"/>
    <dataField name="% Avance" fld="12" subtotal="average" baseField="13" baseItem="0" numFmtId="10"/>
  </dataFields>
  <formats count="32">
    <format dxfId="32">
      <pivotArea outline="0" fieldPosition="0">
        <references count="1">
          <reference field="4294967294" count="1">
            <x v="2"/>
          </reference>
        </references>
      </pivotArea>
    </format>
    <format dxfId="31">
      <pivotArea outline="0" fieldPosition="0">
        <references count="1">
          <reference field="4294967294" count="1">
            <x v="0"/>
          </reference>
        </references>
      </pivotArea>
    </format>
    <format dxfId="30">
      <pivotArea outline="0" fieldPosition="0">
        <references count="1">
          <reference field="4294967294" count="1">
            <x v="1"/>
          </reference>
        </references>
      </pivotArea>
    </format>
    <format dxfId="29">
      <pivotArea field="13" type="button" dataOnly="0" labelOnly="1" outline="0"/>
    </format>
    <format dxfId="28">
      <pivotArea dataOnly="0" labelOnly="1" outline="0" fieldPosition="0">
        <references count="1">
          <reference field="0" count="1" defaultSubtotal="1">
            <x v="0"/>
          </reference>
        </references>
      </pivotArea>
    </format>
    <format dxfId="27">
      <pivotArea dataOnly="0" labelOnly="1" outline="0" fieldPosition="0">
        <references count="1">
          <reference field="0" count="1" defaultSubtotal="1">
            <x v="1"/>
          </reference>
        </references>
      </pivotArea>
    </format>
    <format dxfId="26">
      <pivotArea dataOnly="0" labelOnly="1" outline="0" fieldPosition="0">
        <references count="1">
          <reference field="0" count="1" defaultSubtotal="1">
            <x v="2"/>
          </reference>
        </references>
      </pivotArea>
    </format>
    <format dxfId="25">
      <pivotArea dataOnly="0" labelOnly="1" outline="0" fieldPosition="0">
        <references count="1">
          <reference field="0" count="1" defaultSubtotal="1">
            <x v="3"/>
          </reference>
        </references>
      </pivotArea>
    </format>
    <format dxfId="24">
      <pivotArea dataOnly="0" labelOnly="1" outline="0" fieldPosition="0">
        <references count="1">
          <reference field="0" count="1" defaultSubtotal="1">
            <x v="4"/>
          </reference>
        </references>
      </pivotArea>
    </format>
    <format dxfId="23">
      <pivotArea dataOnly="0" labelOnly="1" outline="0" fieldPosition="0">
        <references count="1">
          <reference field="0" count="1" defaultSubtotal="1">
            <x v="5"/>
          </reference>
        </references>
      </pivotArea>
    </format>
    <format dxfId="22">
      <pivotArea dataOnly="0" labelOnly="1" outline="0" fieldPosition="0">
        <references count="1">
          <reference field="0" count="1" defaultSubtotal="1">
            <x v="6"/>
          </reference>
        </references>
      </pivotArea>
    </format>
    <format dxfId="21">
      <pivotArea dataOnly="0" labelOnly="1" outline="0" fieldPosition="0">
        <references count="1">
          <reference field="0" count="1" defaultSubtotal="1">
            <x v="7"/>
          </reference>
        </references>
      </pivotArea>
    </format>
    <format dxfId="20">
      <pivotArea dataOnly="0" labelOnly="1" outline="0" fieldPosition="0">
        <references count="1">
          <reference field="0" count="1" defaultSubtotal="1">
            <x v="8"/>
          </reference>
        </references>
      </pivotArea>
    </format>
    <format dxfId="19">
      <pivotArea dataOnly="0" labelOnly="1" outline="0" fieldPosition="0">
        <references count="1">
          <reference field="0" count="1" defaultSubtotal="1">
            <x v="9"/>
          </reference>
        </references>
      </pivotArea>
    </format>
    <format dxfId="18">
      <pivotArea dataOnly="0" labelOnly="1" outline="0" fieldPosition="0">
        <references count="1">
          <reference field="0" count="1" defaultSubtotal="1">
            <x v="10"/>
          </reference>
        </references>
      </pivotArea>
    </format>
    <format dxfId="17">
      <pivotArea dataOnly="0" labelOnly="1" outline="0" fieldPosition="0">
        <references count="1">
          <reference field="0" count="1" defaultSubtotal="1">
            <x v="11"/>
          </reference>
        </references>
      </pivotArea>
    </format>
    <format dxfId="16">
      <pivotArea dataOnly="0" labelOnly="1" outline="0" fieldPosition="0">
        <references count="1">
          <reference field="0" count="1" defaultSubtotal="1">
            <x v="12"/>
          </reference>
        </references>
      </pivotArea>
    </format>
    <format dxfId="15">
      <pivotArea dataOnly="0" labelOnly="1" outline="0" fieldPosition="0">
        <references count="1">
          <reference field="0" count="1" defaultSubtotal="1">
            <x v="13"/>
          </reference>
        </references>
      </pivotArea>
    </format>
    <format dxfId="14">
      <pivotArea dataOnly="0" labelOnly="1" outline="0" fieldPosition="0">
        <references count="1">
          <reference field="0" count="1" defaultSubtotal="1">
            <x v="14"/>
          </reference>
        </references>
      </pivotArea>
    </format>
    <format dxfId="13">
      <pivotArea dataOnly="0" labelOnly="1" outline="0" fieldPosition="0">
        <references count="1">
          <reference field="0" count="1" defaultSubtotal="1">
            <x v="15"/>
          </reference>
        </references>
      </pivotArea>
    </format>
    <format dxfId="12">
      <pivotArea dataOnly="0" labelOnly="1" outline="0" fieldPosition="0">
        <references count="1">
          <reference field="0" count="1" defaultSubtotal="1">
            <x v="16"/>
          </reference>
        </references>
      </pivotArea>
    </format>
    <format dxfId="11">
      <pivotArea dataOnly="0" labelOnly="1" outline="0" fieldPosition="0">
        <references count="1">
          <reference field="0" count="1" defaultSubtotal="1">
            <x v="17"/>
          </reference>
        </references>
      </pivotArea>
    </format>
    <format dxfId="10">
      <pivotArea dataOnly="0" labelOnly="1" outline="0" fieldPosition="0">
        <references count="1">
          <reference field="0" count="1" defaultSubtotal="1">
            <x v="18"/>
          </reference>
        </references>
      </pivotArea>
    </format>
    <format dxfId="9">
      <pivotArea dataOnly="0" labelOnly="1" outline="0" fieldPosition="0">
        <references count="1">
          <reference field="0" count="1" defaultSubtotal="1">
            <x v="19"/>
          </reference>
        </references>
      </pivotArea>
    </format>
    <format dxfId="8">
      <pivotArea dataOnly="0" labelOnly="1" outline="0" fieldPosition="0">
        <references count="1">
          <reference field="0" count="1" defaultSubtotal="1">
            <x v="20"/>
          </reference>
        </references>
      </pivotArea>
    </format>
    <format dxfId="7">
      <pivotArea dataOnly="0" labelOnly="1" outline="0" fieldPosition="0">
        <references count="1">
          <reference field="0" count="1" defaultSubtotal="1">
            <x v="21"/>
          </reference>
        </references>
      </pivotArea>
    </format>
    <format dxfId="6">
      <pivotArea dataOnly="0" labelOnly="1" outline="0" fieldPosition="0">
        <references count="1">
          <reference field="0" count="1" defaultSubtotal="1">
            <x v="22"/>
          </reference>
        </references>
      </pivotArea>
    </format>
    <format dxfId="5">
      <pivotArea dataOnly="0" labelOnly="1" outline="0" fieldPosition="0">
        <references count="1">
          <reference field="0" count="1" defaultSubtotal="1">
            <x v="23"/>
          </reference>
        </references>
      </pivotArea>
    </format>
    <format dxfId="4">
      <pivotArea dataOnly="0" labelOnly="1" outline="0" fieldPosition="0">
        <references count="1">
          <reference field="0" count="1" defaultSubtotal="1">
            <x v="24"/>
          </reference>
        </references>
      </pivotArea>
    </format>
    <format dxfId="3">
      <pivotArea dataOnly="0" labelOnly="1" grandRow="1" outline="0" fieldPosition="0"/>
    </format>
    <format dxfId="2">
      <pivotArea outline="0" collapsedLevelsAreSubtotals="1" fieldPosition="0"/>
    </format>
    <format dxfId="1">
      <pivotArea dataOnly="0" labelOnly="1" outline="0" fieldPosition="0">
        <references count="1">
          <reference field="4294967294" count="3">
            <x v="0"/>
            <x v="1"/>
            <x v="2"/>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kronos MCSIG PPP" connectionId="1" xr16:uid="{5E430064-BC03-4D01-9F06-345D587DB836}" autoFormatId="16" applyNumberFormats="0" applyBorderFormats="0" applyFontFormats="0" applyPatternFormats="0" applyAlignmentFormats="0" applyWidthHeightFormats="0">
  <queryTableRefresh nextId="81" unboundColumnsRight="2">
    <queryTableFields count="14">
      <queryTableField id="3" name="DEP_NOMBRE" tableColumnId="3"/>
      <queryTableField id="67" name="OBJ_ID" tableColumnId="1"/>
      <queryTableField id="68" name="OBJ_DESCRIPCION" tableColumnId="2"/>
      <queryTableField id="69" name="EST_ID" tableColumnId="4"/>
      <queryTableField id="70" name="EST_DESCRIPCION" tableColumnId="5"/>
      <queryTableField id="71" name="SIN_ID" tableColumnId="6"/>
      <queryTableField id="72" name="SIN_NOMBRE" tableColumnId="7"/>
      <queryTableField id="73" name="SIP_CANTIDAD" tableColumnId="8"/>
      <queryTableField id="74" name="SIU_NUMBRE" tableColumnId="9"/>
      <queryTableField id="75" name="SIA_CANTIDAD" tableColumnId="10"/>
      <queryTableField id="76" name="SIA_OBSERVACIONES" tableColumnId="11"/>
      <queryTableField id="77" name="SIA_FECHA" tableColumnId="12"/>
      <queryTableField id="78" dataBound="0" tableColumnId="13"/>
      <queryTableField id="79" dataBound="0" tableColumnId="14"/>
    </queryTableFields>
    <queryTableDeletedFields count="7">
      <deletedField name="Actividad"/>
      <deletedField name="CONTEO"/>
      <deletedField name="ValorPorZona"/>
      <deletedField name="Departamemto"/>
      <deletedField name="Municipio"/>
      <deletedField name="FAE_FECHA_EPE"/>
      <deletedField name="DEP_I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AF2B64-2368-481B-9392-7B9D2E2A7E6E}" name="Tabla_kronos_MCSIG_PEI" displayName="Tabla_kronos_MCSIG_PEI" ref="A1:N78" tableType="queryTable" totalsRowCount="1" headerRowDxfId="46">
  <autoFilter ref="A1:N77" xr:uid="{54B021D3-9B9A-459E-BC6D-827D97B378CE}"/>
  <tableColumns count="14">
    <tableColumn id="3" xr3:uid="{E7B5A421-8ED8-4102-ADFF-610671FB3D43}" uniqueName="3" name="DEP_NOMBRE" queryTableFieldId="3"/>
    <tableColumn id="1" xr3:uid="{C471FFCA-41F4-4255-BB25-DCA59E0F3957}" uniqueName="1" name="OBJ_ID" queryTableFieldId="67" dataDxfId="45" totalsRowDxfId="44"/>
    <tableColumn id="2" xr3:uid="{C93A7898-037C-4AC5-94D8-F0FC0299BEF5}" uniqueName="2" name="OBJ_DESCRIPCION" queryTableFieldId="68"/>
    <tableColumn id="4" xr3:uid="{C6B57D85-ADF0-4231-9497-AABBF8C56348}" uniqueName="4" name="EST_ID" queryTableFieldId="69" dataDxfId="43"/>
    <tableColumn id="5" xr3:uid="{685B3C29-3BD7-4A97-890C-89D2A54C05D4}" uniqueName="5" name="EST_DESCRIPCION" queryTableFieldId="70"/>
    <tableColumn id="6" xr3:uid="{65AE44FA-B6C0-429F-9D92-C54FC36BA582}" uniqueName="6" name="SIN_ID" queryTableFieldId="71" dataDxfId="42"/>
    <tableColumn id="7" xr3:uid="{720823D9-FFF5-435C-959F-27906350154A}" uniqueName="7" name="SIN_NOMBRE" totalsRowFunction="count" queryTableFieldId="72" totalsRowDxfId="41"/>
    <tableColumn id="8" xr3:uid="{0D2349AF-D84F-442D-B76F-4C75452E9DB2}" uniqueName="8" name="SIP_CANTIDAD" queryTableFieldId="73" dataDxfId="40"/>
    <tableColumn id="9" xr3:uid="{C47F9454-0D4C-4B14-A456-E7BD1C9881F8}" uniqueName="9" name="SIU_NUMBRE" queryTableFieldId="74"/>
    <tableColumn id="10" xr3:uid="{2DCEB573-BAE9-4F25-B753-8788379182A6}" uniqueName="10" name="SIA_CANTIDAD" totalsRowFunction="count" queryTableFieldId="75" dataDxfId="39" totalsRowDxfId="38"/>
    <tableColumn id="11" xr3:uid="{B7ACD2CE-1D68-4034-A146-FC00773E1F6B}" uniqueName="11" name="SIA_OBSERVACIONES" queryTableFieldId="76"/>
    <tableColumn id="12" xr3:uid="{0F0AFBD9-A24C-433C-A8AB-B7EF15C61120}" uniqueName="12" name="SIA_FECHA" queryTableFieldId="77" dataDxfId="37"/>
    <tableColumn id="13" xr3:uid="{61E3E310-7E37-4FE3-B100-0F18F6BCF194}" uniqueName="13" name="% Avance TOTAL" queryTableFieldId="78" dataDxfId="36" totalsRowDxfId="35" dataCellStyle="Porcentaje">
      <calculatedColumnFormula>IFERROR(Tabla_kronos_MCSIG_PEI[[#This Row],[SIA_CANTIDAD]]/Tabla_kronos_MCSIG_PEI[[#This Row],[SIP_CANTIDAD]],"Meta sin Valor")</calculatedColumnFormula>
    </tableColumn>
    <tableColumn id="14" xr3:uid="{26BD7257-3971-4306-A75A-4DDC05F1C005}" uniqueName="14" name="PND" totalsRowFunction="custom" queryTableFieldId="79" dataDxfId="34" totalsRowDxfId="33">
      <calculatedColumnFormula>IFERROR(IF(VLOOKUP(Tabla_kronos_MCSIG_PEI[[#This Row],[SIN_ID]],#REF!,1,0)&gt;0,"X","-"),"-")</calculatedColumnFormula>
      <totalsRowFormula>COUNTIF(Tabla_kronos_MCSIG_PEI[PND],"X")</totalsRow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58E9-4AC6-4D0C-AA7F-DAAC9D0FB39F}">
  <sheetPr>
    <tabColor rgb="FF002060"/>
  </sheetPr>
  <dimension ref="A1:R79"/>
  <sheetViews>
    <sheetView workbookViewId="0">
      <pane ySplit="1" topLeftCell="A2" activePane="bottomLeft" state="frozen"/>
      <selection pane="bottomLeft"/>
    </sheetView>
  </sheetViews>
  <sheetFormatPr baseColWidth="10" defaultRowHeight="15" x14ac:dyDescent="0.25"/>
  <cols>
    <col min="1" max="1" width="18" bestFit="1" customWidth="1"/>
    <col min="2" max="2" width="11.7109375" bestFit="1" customWidth="1"/>
    <col min="3" max="3" width="21.85546875" bestFit="1" customWidth="1"/>
    <col min="4" max="4" width="11.42578125" bestFit="1" customWidth="1"/>
    <col min="5" max="5" width="21.5703125" bestFit="1" customWidth="1"/>
    <col min="6" max="6" width="11.42578125" bestFit="1" customWidth="1"/>
    <col min="7" max="7" width="17.5703125" bestFit="1" customWidth="1"/>
    <col min="8" max="8" width="18.5703125" bestFit="1" customWidth="1"/>
    <col min="9" max="9" width="17.5703125" bestFit="1" customWidth="1"/>
    <col min="10" max="10" width="18.7109375" bestFit="1" customWidth="1"/>
    <col min="11" max="11" width="24.42578125" bestFit="1" customWidth="1"/>
    <col min="12" max="12" width="15.140625" bestFit="1" customWidth="1"/>
    <col min="13" max="13" width="20" bestFit="1" customWidth="1"/>
    <col min="14" max="14" width="9.42578125" bestFit="1" customWidth="1"/>
    <col min="15" max="15" width="9.42578125" style="1" bestFit="1" customWidth="1"/>
    <col min="17" max="17" width="17" bestFit="1" customWidth="1"/>
    <col min="18" max="19" width="15.7109375" bestFit="1" customWidth="1"/>
  </cols>
  <sheetData>
    <row r="1" spans="1:18" x14ac:dyDescent="0.25">
      <c r="A1" s="1" t="s">
        <v>107</v>
      </c>
      <c r="B1" s="1" t="s">
        <v>108</v>
      </c>
      <c r="C1" s="1" t="s">
        <v>109</v>
      </c>
      <c r="D1" s="1" t="s">
        <v>110</v>
      </c>
      <c r="E1" s="1" t="s">
        <v>111</v>
      </c>
      <c r="F1" s="1" t="s">
        <v>112</v>
      </c>
      <c r="G1" s="1" t="s">
        <v>113</v>
      </c>
      <c r="H1" s="3" t="s">
        <v>114</v>
      </c>
      <c r="I1" s="1" t="s">
        <v>115</v>
      </c>
      <c r="J1" s="3" t="s">
        <v>116</v>
      </c>
      <c r="K1" s="1" t="s">
        <v>117</v>
      </c>
      <c r="L1" s="1" t="s">
        <v>118</v>
      </c>
      <c r="M1" s="7" t="s">
        <v>106</v>
      </c>
      <c r="N1" s="9" t="s">
        <v>105</v>
      </c>
      <c r="O1"/>
      <c r="Q1" s="4" t="s">
        <v>119</v>
      </c>
      <c r="R1" s="5">
        <v>43861.755017592594</v>
      </c>
    </row>
    <row r="2" spans="1:18" x14ac:dyDescent="0.25">
      <c r="A2" t="s">
        <v>5</v>
      </c>
      <c r="B2" s="1">
        <v>1</v>
      </c>
      <c r="C2" t="s">
        <v>76</v>
      </c>
      <c r="D2" s="1">
        <v>32</v>
      </c>
      <c r="E2" t="s">
        <v>77</v>
      </c>
      <c r="F2" s="1">
        <v>223</v>
      </c>
      <c r="G2" t="s">
        <v>120</v>
      </c>
      <c r="H2" s="3">
        <v>0</v>
      </c>
      <c r="I2" t="s">
        <v>102</v>
      </c>
      <c r="J2" s="3">
        <v>0</v>
      </c>
      <c r="K2" t="s">
        <v>171</v>
      </c>
      <c r="L2" s="6">
        <v>43830.64947916667</v>
      </c>
      <c r="M2" s="8" t="str">
        <f>IFERROR(Tabla_kronos_MCSIG_PEI[[#This Row],[SIA_CANTIDAD]]/Tabla_kronos_MCSIG_PEI[[#This Row],[SIP_CANTIDAD]],"Meta sin Valor")</f>
        <v>Meta sin Valor</v>
      </c>
      <c r="N2" s="1" t="str">
        <f>IFERROR(IF(VLOOKUP(Tabla_kronos_MCSIG_PEI[[#This Row],[SIN_ID]],#REF!,1,0)&gt;0,"X","-"),"-")</f>
        <v>-</v>
      </c>
      <c r="O2"/>
      <c r="Q2" s="12">
        <f ca="1">NOW()</f>
        <v>44763.651470138888</v>
      </c>
    </row>
    <row r="3" spans="1:18" x14ac:dyDescent="0.25">
      <c r="A3" t="s">
        <v>5</v>
      </c>
      <c r="B3" s="1">
        <v>1</v>
      </c>
      <c r="C3" t="s">
        <v>76</v>
      </c>
      <c r="D3" s="1">
        <v>32</v>
      </c>
      <c r="E3" t="s">
        <v>77</v>
      </c>
      <c r="F3" s="1">
        <v>224</v>
      </c>
      <c r="G3" t="s">
        <v>121</v>
      </c>
      <c r="H3" s="3">
        <v>0</v>
      </c>
      <c r="I3" t="s">
        <v>102</v>
      </c>
      <c r="J3" s="3">
        <v>0</v>
      </c>
      <c r="K3" t="s">
        <v>172</v>
      </c>
      <c r="L3" s="6">
        <v>43830.65042824074</v>
      </c>
      <c r="M3" s="8" t="str">
        <f>IFERROR(Tabla_kronos_MCSIG_PEI[[#This Row],[SIA_CANTIDAD]]/Tabla_kronos_MCSIG_PEI[[#This Row],[SIP_CANTIDAD]],"Meta sin Valor")</f>
        <v>Meta sin Valor</v>
      </c>
      <c r="N3" s="1" t="str">
        <f>IFERROR(IF(VLOOKUP(Tabla_kronos_MCSIG_PEI[[#This Row],[SIN_ID]],#REF!,1,0)&gt;0,"X","-"),"-")</f>
        <v>-</v>
      </c>
      <c r="O3"/>
    </row>
    <row r="4" spans="1:18" x14ac:dyDescent="0.25">
      <c r="A4" t="s">
        <v>6</v>
      </c>
      <c r="B4" s="1">
        <v>1</v>
      </c>
      <c r="C4" t="s">
        <v>76</v>
      </c>
      <c r="D4" s="1">
        <v>32</v>
      </c>
      <c r="E4" t="s">
        <v>77</v>
      </c>
      <c r="F4" s="1">
        <v>225</v>
      </c>
      <c r="G4" t="s">
        <v>122</v>
      </c>
      <c r="H4" s="3">
        <v>0</v>
      </c>
      <c r="I4" t="s">
        <v>102</v>
      </c>
      <c r="J4" s="3">
        <v>0</v>
      </c>
      <c r="K4" t="s">
        <v>123</v>
      </c>
      <c r="L4" s="6">
        <v>43738.502962962964</v>
      </c>
      <c r="M4" s="8" t="str">
        <f>IFERROR(Tabla_kronos_MCSIG_PEI[[#This Row],[SIA_CANTIDAD]]/Tabla_kronos_MCSIG_PEI[[#This Row],[SIP_CANTIDAD]],"Meta sin Valor")</f>
        <v>Meta sin Valor</v>
      </c>
      <c r="N4" s="1" t="str">
        <f>IFERROR(IF(VLOOKUP(Tabla_kronos_MCSIG_PEI[[#This Row],[SIN_ID]],#REF!,1,0)&gt;0,"X","-"),"-")</f>
        <v>-</v>
      </c>
      <c r="O4"/>
    </row>
    <row r="5" spans="1:18" x14ac:dyDescent="0.25">
      <c r="A5" t="s">
        <v>124</v>
      </c>
      <c r="B5" s="1">
        <v>1</v>
      </c>
      <c r="C5" t="s">
        <v>76</v>
      </c>
      <c r="D5" s="1">
        <v>32</v>
      </c>
      <c r="E5" t="s">
        <v>77</v>
      </c>
      <c r="F5" s="1">
        <v>226</v>
      </c>
      <c r="G5" t="s">
        <v>78</v>
      </c>
      <c r="H5" s="3">
        <v>25</v>
      </c>
      <c r="I5" t="s">
        <v>102</v>
      </c>
      <c r="J5" s="3">
        <v>35</v>
      </c>
      <c r="K5" t="s">
        <v>125</v>
      </c>
      <c r="L5" s="6">
        <v>43738.752824074072</v>
      </c>
      <c r="M5" s="8">
        <f>IFERROR(Tabla_kronos_MCSIG_PEI[[#This Row],[SIA_CANTIDAD]]/Tabla_kronos_MCSIG_PEI[[#This Row],[SIP_CANTIDAD]],"Meta sin Valor")</f>
        <v>1.4</v>
      </c>
      <c r="N5" s="1" t="str">
        <f>IFERROR(IF(VLOOKUP(Tabla_kronos_MCSIG_PEI[[#This Row],[SIN_ID]],#REF!,1,0)&gt;0,"X","-"),"-")</f>
        <v>-</v>
      </c>
      <c r="O5"/>
    </row>
    <row r="6" spans="1:18" x14ac:dyDescent="0.25">
      <c r="A6" t="s">
        <v>3</v>
      </c>
      <c r="B6" s="1">
        <v>1</v>
      </c>
      <c r="C6" t="s">
        <v>76</v>
      </c>
      <c r="D6" s="1">
        <v>32</v>
      </c>
      <c r="E6" t="s">
        <v>77</v>
      </c>
      <c r="F6" s="1">
        <v>227</v>
      </c>
      <c r="G6" t="s">
        <v>126</v>
      </c>
      <c r="H6" s="3">
        <v>1</v>
      </c>
      <c r="I6" t="s">
        <v>102</v>
      </c>
      <c r="J6" s="3">
        <v>1</v>
      </c>
      <c r="K6" t="s">
        <v>194</v>
      </c>
      <c r="L6" s="6">
        <v>43830.64335648148</v>
      </c>
      <c r="M6" s="8">
        <f>IFERROR(Tabla_kronos_MCSIG_PEI[[#This Row],[SIA_CANTIDAD]]/Tabla_kronos_MCSIG_PEI[[#This Row],[SIP_CANTIDAD]],"Meta sin Valor")</f>
        <v>1</v>
      </c>
      <c r="N6" s="1" t="str">
        <f>IFERROR(IF(VLOOKUP(Tabla_kronos_MCSIG_PEI[[#This Row],[SIN_ID]],#REF!,1,0)&gt;0,"X","-"),"-")</f>
        <v>-</v>
      </c>
      <c r="O6"/>
    </row>
    <row r="7" spans="1:18" x14ac:dyDescent="0.25">
      <c r="A7" t="s">
        <v>1</v>
      </c>
      <c r="B7" s="1">
        <v>1</v>
      </c>
      <c r="C7" t="s">
        <v>76</v>
      </c>
      <c r="D7" s="1">
        <v>31</v>
      </c>
      <c r="E7" t="s">
        <v>0</v>
      </c>
      <c r="F7" s="1">
        <v>221</v>
      </c>
      <c r="G7" t="s">
        <v>127</v>
      </c>
      <c r="H7" s="3">
        <v>0</v>
      </c>
      <c r="I7" t="s">
        <v>102</v>
      </c>
      <c r="J7" s="3">
        <v>0</v>
      </c>
      <c r="K7" t="s">
        <v>173</v>
      </c>
      <c r="L7" s="6">
        <v>43826.435208333336</v>
      </c>
      <c r="M7" s="8" t="str">
        <f>IFERROR(Tabla_kronos_MCSIG_PEI[[#This Row],[SIA_CANTIDAD]]/Tabla_kronos_MCSIG_PEI[[#This Row],[SIP_CANTIDAD]],"Meta sin Valor")</f>
        <v>Meta sin Valor</v>
      </c>
      <c r="N7" s="1" t="str">
        <f>IFERROR(IF(VLOOKUP(Tabla_kronos_MCSIG_PEI[[#This Row],[SIN_ID]],#REF!,1,0)&gt;0,"X","-"),"-")</f>
        <v>-</v>
      </c>
      <c r="O7"/>
    </row>
    <row r="8" spans="1:18" x14ac:dyDescent="0.25">
      <c r="A8" t="s">
        <v>1</v>
      </c>
      <c r="B8" s="1">
        <v>1</v>
      </c>
      <c r="C8" t="s">
        <v>76</v>
      </c>
      <c r="D8" s="1">
        <v>31</v>
      </c>
      <c r="E8" t="s">
        <v>0</v>
      </c>
      <c r="F8" s="1">
        <v>222</v>
      </c>
      <c r="G8" t="s">
        <v>2</v>
      </c>
      <c r="H8" s="3">
        <v>25</v>
      </c>
      <c r="I8" t="s">
        <v>102</v>
      </c>
      <c r="J8" s="3">
        <v>25</v>
      </c>
      <c r="K8" t="s">
        <v>174</v>
      </c>
      <c r="L8" s="6">
        <v>43830.441805555558</v>
      </c>
      <c r="M8" s="8">
        <f>IFERROR(Tabla_kronos_MCSIG_PEI[[#This Row],[SIA_CANTIDAD]]/Tabla_kronos_MCSIG_PEI[[#This Row],[SIP_CANTIDAD]],"Meta sin Valor")</f>
        <v>1</v>
      </c>
      <c r="N8" s="1" t="str">
        <f>IFERROR(IF(VLOOKUP(Tabla_kronos_MCSIG_PEI[[#This Row],[SIN_ID]],#REF!,1,0)&gt;0,"X","-"),"-")</f>
        <v>-</v>
      </c>
      <c r="O8"/>
    </row>
    <row r="9" spans="1:18" x14ac:dyDescent="0.25">
      <c r="A9" t="s">
        <v>3</v>
      </c>
      <c r="B9" s="1">
        <v>1</v>
      </c>
      <c r="C9" t="s">
        <v>76</v>
      </c>
      <c r="D9" s="1">
        <v>31</v>
      </c>
      <c r="E9" t="s">
        <v>0</v>
      </c>
      <c r="F9" s="1">
        <v>304</v>
      </c>
      <c r="G9" t="s">
        <v>4</v>
      </c>
      <c r="H9" s="3">
        <v>3</v>
      </c>
      <c r="I9" t="s">
        <v>102</v>
      </c>
      <c r="J9" s="3">
        <v>3</v>
      </c>
      <c r="K9" t="s">
        <v>195</v>
      </c>
      <c r="L9" s="6">
        <v>43830.641226851854</v>
      </c>
      <c r="M9" s="8">
        <f>IFERROR(Tabla_kronos_MCSIG_PEI[[#This Row],[SIA_CANTIDAD]]/Tabla_kronos_MCSIG_PEI[[#This Row],[SIP_CANTIDAD]],"Meta sin Valor")</f>
        <v>1</v>
      </c>
      <c r="N9" s="1" t="str">
        <f>IFERROR(IF(VLOOKUP(Tabla_kronos_MCSIG_PEI[[#This Row],[SIN_ID]],#REF!,1,0)&gt;0,"X","-"),"-")</f>
        <v>-</v>
      </c>
      <c r="O9"/>
    </row>
    <row r="10" spans="1:18" x14ac:dyDescent="0.25">
      <c r="A10" t="s">
        <v>3</v>
      </c>
      <c r="B10" s="1">
        <v>1</v>
      </c>
      <c r="C10" t="s">
        <v>76</v>
      </c>
      <c r="D10" s="1">
        <v>33</v>
      </c>
      <c r="E10" t="s">
        <v>7</v>
      </c>
      <c r="F10" s="1">
        <v>228</v>
      </c>
      <c r="G10" t="s">
        <v>79</v>
      </c>
      <c r="H10" s="3">
        <v>1</v>
      </c>
      <c r="I10" t="s">
        <v>102</v>
      </c>
      <c r="J10" s="3">
        <v>4</v>
      </c>
      <c r="K10" t="s">
        <v>196</v>
      </c>
      <c r="L10" s="6">
        <v>43830.643993055557</v>
      </c>
      <c r="M10" s="8">
        <f>IFERROR(Tabla_kronos_MCSIG_PEI[[#This Row],[SIA_CANTIDAD]]/Tabla_kronos_MCSIG_PEI[[#This Row],[SIP_CANTIDAD]],"Meta sin Valor")</f>
        <v>4</v>
      </c>
      <c r="N10" s="1" t="str">
        <f>IFERROR(IF(VLOOKUP(Tabla_kronos_MCSIG_PEI[[#This Row],[SIN_ID]],#REF!,1,0)&gt;0,"X","-"),"-")</f>
        <v>-</v>
      </c>
      <c r="O10"/>
    </row>
    <row r="11" spans="1:18" x14ac:dyDescent="0.25">
      <c r="A11" t="s">
        <v>12</v>
      </c>
      <c r="B11" s="1">
        <v>2</v>
      </c>
      <c r="C11" t="s">
        <v>8</v>
      </c>
      <c r="D11" s="1">
        <v>48</v>
      </c>
      <c r="E11" t="s">
        <v>81</v>
      </c>
      <c r="F11" s="1">
        <v>232</v>
      </c>
      <c r="G11" t="s">
        <v>82</v>
      </c>
      <c r="H11" s="3">
        <v>33</v>
      </c>
      <c r="I11" t="s">
        <v>102</v>
      </c>
      <c r="J11" s="3"/>
      <c r="L11" s="6"/>
      <c r="M11" s="8">
        <f>IFERROR(Tabla_kronos_MCSIG_PEI[[#This Row],[SIA_CANTIDAD]]/Tabla_kronos_MCSIG_PEI[[#This Row],[SIP_CANTIDAD]],"Meta sin Valor")</f>
        <v>0</v>
      </c>
      <c r="N11" s="1" t="str">
        <f>IFERROR(IF(VLOOKUP(Tabla_kronos_MCSIG_PEI[[#This Row],[SIN_ID]],#REF!,1,0)&gt;0,"X","-"),"-")</f>
        <v>-</v>
      </c>
      <c r="O11"/>
    </row>
    <row r="12" spans="1:18" x14ac:dyDescent="0.25">
      <c r="A12" t="s">
        <v>10</v>
      </c>
      <c r="B12" s="1">
        <v>2</v>
      </c>
      <c r="C12" t="s">
        <v>8</v>
      </c>
      <c r="D12" s="1">
        <v>47</v>
      </c>
      <c r="E12" t="s">
        <v>9</v>
      </c>
      <c r="F12" s="1">
        <v>229</v>
      </c>
      <c r="G12" t="s">
        <v>80</v>
      </c>
      <c r="H12" s="3">
        <v>93</v>
      </c>
      <c r="I12" t="s">
        <v>103</v>
      </c>
      <c r="J12" s="3">
        <v>93</v>
      </c>
      <c r="K12" t="s">
        <v>224</v>
      </c>
      <c r="L12" s="6">
        <v>43769.549432870372</v>
      </c>
      <c r="M12" s="8">
        <f>IFERROR(Tabla_kronos_MCSIG_PEI[[#This Row],[SIA_CANTIDAD]]/Tabla_kronos_MCSIG_PEI[[#This Row],[SIP_CANTIDAD]],"Meta sin Valor")</f>
        <v>1</v>
      </c>
      <c r="N12" s="1" t="str">
        <f>IFERROR(IF(VLOOKUP(Tabla_kronos_MCSIG_PEI[[#This Row],[SIN_ID]],#REF!,1,0)&gt;0,"X","-"),"-")</f>
        <v>-</v>
      </c>
      <c r="O12"/>
    </row>
    <row r="13" spans="1:18" x14ac:dyDescent="0.25">
      <c r="A13" t="s">
        <v>10</v>
      </c>
      <c r="B13" s="1">
        <v>2</v>
      </c>
      <c r="C13" t="s">
        <v>8</v>
      </c>
      <c r="D13" s="1">
        <v>47</v>
      </c>
      <c r="E13" t="s">
        <v>9</v>
      </c>
      <c r="F13" s="1">
        <v>230</v>
      </c>
      <c r="G13" t="s">
        <v>11</v>
      </c>
      <c r="H13" s="3">
        <v>1047</v>
      </c>
      <c r="I13" t="s">
        <v>102</v>
      </c>
      <c r="J13" s="3">
        <v>3102</v>
      </c>
      <c r="K13" t="s">
        <v>230</v>
      </c>
      <c r="L13" s="6">
        <v>43830.549861111111</v>
      </c>
      <c r="M13" s="8">
        <f>IFERROR(Tabla_kronos_MCSIG_PEI[[#This Row],[SIA_CANTIDAD]]/Tabla_kronos_MCSIG_PEI[[#This Row],[SIP_CANTIDAD]],"Meta sin Valor")</f>
        <v>2.9627507163323781</v>
      </c>
      <c r="N13" s="1" t="str">
        <f>IFERROR(IF(VLOOKUP(Tabla_kronos_MCSIG_PEI[[#This Row],[SIN_ID]],#REF!,1,0)&gt;0,"X","-"),"-")</f>
        <v>-</v>
      </c>
      <c r="O13"/>
    </row>
    <row r="14" spans="1:18" x14ac:dyDescent="0.25">
      <c r="A14" t="s">
        <v>10</v>
      </c>
      <c r="B14" s="1">
        <v>2</v>
      </c>
      <c r="C14" t="s">
        <v>8</v>
      </c>
      <c r="D14" s="1">
        <v>47</v>
      </c>
      <c r="E14" t="s">
        <v>9</v>
      </c>
      <c r="F14" s="1">
        <v>231</v>
      </c>
      <c r="G14" t="s">
        <v>128</v>
      </c>
      <c r="H14" s="3">
        <v>0</v>
      </c>
      <c r="I14" t="s">
        <v>102</v>
      </c>
      <c r="J14" s="3">
        <v>0</v>
      </c>
      <c r="K14" t="s">
        <v>129</v>
      </c>
      <c r="L14" s="6">
        <v>43769.550567129627</v>
      </c>
      <c r="M14" s="8" t="str">
        <f>IFERROR(Tabla_kronos_MCSIG_PEI[[#This Row],[SIA_CANTIDAD]]/Tabla_kronos_MCSIG_PEI[[#This Row],[SIP_CANTIDAD]],"Meta sin Valor")</f>
        <v>Meta sin Valor</v>
      </c>
      <c r="N14" s="1" t="str">
        <f>IFERROR(IF(VLOOKUP(Tabla_kronos_MCSIG_PEI[[#This Row],[SIN_ID]],#REF!,1,0)&gt;0,"X","-"),"-")</f>
        <v>-</v>
      </c>
      <c r="O14"/>
    </row>
    <row r="15" spans="1:18" x14ac:dyDescent="0.25">
      <c r="A15" t="s">
        <v>124</v>
      </c>
      <c r="B15" s="1">
        <v>2</v>
      </c>
      <c r="C15" t="s">
        <v>8</v>
      </c>
      <c r="D15" s="1">
        <v>51</v>
      </c>
      <c r="E15" t="s">
        <v>17</v>
      </c>
      <c r="F15" s="1">
        <v>237</v>
      </c>
      <c r="G15" t="s">
        <v>18</v>
      </c>
      <c r="H15" s="3">
        <v>100</v>
      </c>
      <c r="I15" t="s">
        <v>103</v>
      </c>
      <c r="J15" s="3">
        <v>56</v>
      </c>
      <c r="K15" t="s">
        <v>130</v>
      </c>
      <c r="L15" s="6">
        <v>43738.755011574074</v>
      </c>
      <c r="M15" s="8">
        <f>IFERROR(Tabla_kronos_MCSIG_PEI[[#This Row],[SIA_CANTIDAD]]/Tabla_kronos_MCSIG_PEI[[#This Row],[SIP_CANTIDAD]],"Meta sin Valor")</f>
        <v>0.56000000000000005</v>
      </c>
      <c r="N15" s="1" t="str">
        <f>IFERROR(IF(VLOOKUP(Tabla_kronos_MCSIG_PEI[[#This Row],[SIN_ID]],#REF!,1,0)&gt;0,"X","-"),"-")</f>
        <v>-</v>
      </c>
      <c r="O15"/>
    </row>
    <row r="16" spans="1:18" x14ac:dyDescent="0.25">
      <c r="A16" t="s">
        <v>131</v>
      </c>
      <c r="B16" s="1">
        <v>2</v>
      </c>
      <c r="C16" t="s">
        <v>8</v>
      </c>
      <c r="D16" s="1">
        <v>49</v>
      </c>
      <c r="E16" t="s">
        <v>83</v>
      </c>
      <c r="F16" s="1">
        <v>233</v>
      </c>
      <c r="G16" t="s">
        <v>13</v>
      </c>
      <c r="H16" s="3">
        <v>16</v>
      </c>
      <c r="I16" t="s">
        <v>102</v>
      </c>
      <c r="J16" s="3">
        <v>17</v>
      </c>
      <c r="K16" t="s">
        <v>197</v>
      </c>
      <c r="L16" s="6">
        <v>43830.410925925928</v>
      </c>
      <c r="M16" s="8">
        <f>IFERROR(Tabla_kronos_MCSIG_PEI[[#This Row],[SIA_CANTIDAD]]/Tabla_kronos_MCSIG_PEI[[#This Row],[SIP_CANTIDAD]],"Meta sin Valor")</f>
        <v>1.0625</v>
      </c>
      <c r="N16" s="1" t="str">
        <f>IFERROR(IF(VLOOKUP(Tabla_kronos_MCSIG_PEI[[#This Row],[SIN_ID]],#REF!,1,0)&gt;0,"X","-"),"-")</f>
        <v>-</v>
      </c>
      <c r="O16"/>
    </row>
    <row r="17" spans="1:15" x14ac:dyDescent="0.25">
      <c r="A17" t="s">
        <v>131</v>
      </c>
      <c r="B17" s="1">
        <v>2</v>
      </c>
      <c r="C17" t="s">
        <v>8</v>
      </c>
      <c r="D17" s="1">
        <v>49</v>
      </c>
      <c r="E17" t="s">
        <v>83</v>
      </c>
      <c r="F17" s="1">
        <v>234</v>
      </c>
      <c r="G17" t="s">
        <v>14</v>
      </c>
      <c r="H17" s="3">
        <v>8</v>
      </c>
      <c r="I17" t="s">
        <v>102</v>
      </c>
      <c r="J17" s="3">
        <v>10</v>
      </c>
      <c r="K17" t="s">
        <v>198</v>
      </c>
      <c r="L17" s="6">
        <v>43830.414166666669</v>
      </c>
      <c r="M17" s="8">
        <f>IFERROR(Tabla_kronos_MCSIG_PEI[[#This Row],[SIA_CANTIDAD]]/Tabla_kronos_MCSIG_PEI[[#This Row],[SIP_CANTIDAD]],"Meta sin Valor")</f>
        <v>1.25</v>
      </c>
      <c r="N17" s="1" t="str">
        <f>IFERROR(IF(VLOOKUP(Tabla_kronos_MCSIG_PEI[[#This Row],[SIN_ID]],#REF!,1,0)&gt;0,"X","-"),"-")</f>
        <v>-</v>
      </c>
      <c r="O17"/>
    </row>
    <row r="18" spans="1:15" x14ac:dyDescent="0.25">
      <c r="A18" t="s">
        <v>12</v>
      </c>
      <c r="B18" s="1">
        <v>2</v>
      </c>
      <c r="C18" t="s">
        <v>8</v>
      </c>
      <c r="D18" s="1">
        <v>49</v>
      </c>
      <c r="E18" t="s">
        <v>83</v>
      </c>
      <c r="F18" s="1">
        <v>289</v>
      </c>
      <c r="G18" t="s">
        <v>15</v>
      </c>
      <c r="H18" s="3">
        <v>1</v>
      </c>
      <c r="I18" t="s">
        <v>102</v>
      </c>
      <c r="J18" s="3">
        <v>0</v>
      </c>
      <c r="K18" t="s">
        <v>219</v>
      </c>
      <c r="L18" s="6">
        <v>43830.497581018521</v>
      </c>
      <c r="M18" s="8">
        <f>IFERROR(Tabla_kronos_MCSIG_PEI[[#This Row],[SIA_CANTIDAD]]/Tabla_kronos_MCSIG_PEI[[#This Row],[SIP_CANTIDAD]],"Meta sin Valor")</f>
        <v>0</v>
      </c>
      <c r="N18" s="1" t="str">
        <f>IFERROR(IF(VLOOKUP(Tabla_kronos_MCSIG_PEI[[#This Row],[SIN_ID]],#REF!,1,0)&gt;0,"X","-"),"-")</f>
        <v>-</v>
      </c>
      <c r="O18"/>
    </row>
    <row r="19" spans="1:15" x14ac:dyDescent="0.25">
      <c r="A19" t="s">
        <v>3</v>
      </c>
      <c r="B19" s="1">
        <v>2</v>
      </c>
      <c r="C19" t="s">
        <v>8</v>
      </c>
      <c r="D19" s="1">
        <v>50</v>
      </c>
      <c r="E19" t="s">
        <v>184</v>
      </c>
      <c r="F19" s="1">
        <v>235</v>
      </c>
      <c r="G19" t="s">
        <v>188</v>
      </c>
      <c r="H19" s="3">
        <v>3</v>
      </c>
      <c r="I19" t="s">
        <v>102</v>
      </c>
      <c r="J19" s="3">
        <v>7</v>
      </c>
      <c r="K19" t="s">
        <v>199</v>
      </c>
      <c r="L19" s="6">
        <v>43830.645069444443</v>
      </c>
      <c r="M19" s="8">
        <f>IFERROR(Tabla_kronos_MCSIG_PEI[[#This Row],[SIA_CANTIDAD]]/Tabla_kronos_MCSIG_PEI[[#This Row],[SIP_CANTIDAD]],"Meta sin Valor")</f>
        <v>2.3333333333333335</v>
      </c>
      <c r="N19" s="1" t="str">
        <f>IFERROR(IF(VLOOKUP(Tabla_kronos_MCSIG_PEI[[#This Row],[SIN_ID]],#REF!,1,0)&gt;0,"X","-"),"-")</f>
        <v>-</v>
      </c>
      <c r="O19"/>
    </row>
    <row r="20" spans="1:15" x14ac:dyDescent="0.25">
      <c r="A20" t="s">
        <v>3</v>
      </c>
      <c r="B20" s="1">
        <v>2</v>
      </c>
      <c r="C20" t="s">
        <v>8</v>
      </c>
      <c r="D20" s="1">
        <v>50</v>
      </c>
      <c r="E20" t="s">
        <v>184</v>
      </c>
      <c r="F20" s="1">
        <v>236</v>
      </c>
      <c r="G20" t="s">
        <v>16</v>
      </c>
      <c r="H20" s="3">
        <v>1</v>
      </c>
      <c r="I20" t="s">
        <v>102</v>
      </c>
      <c r="J20" s="3">
        <v>4</v>
      </c>
      <c r="K20" t="s">
        <v>200</v>
      </c>
      <c r="L20" s="6">
        <v>43830.644525462965</v>
      </c>
      <c r="M20" s="8">
        <f>IFERROR(Tabla_kronos_MCSIG_PEI[[#This Row],[SIA_CANTIDAD]]/Tabla_kronos_MCSIG_PEI[[#This Row],[SIP_CANTIDAD]],"Meta sin Valor")</f>
        <v>4</v>
      </c>
      <c r="N20" s="1" t="str">
        <f>IFERROR(IF(VLOOKUP(Tabla_kronos_MCSIG_PEI[[#This Row],[SIN_ID]],#REF!,1,0)&gt;0,"X","-"),"-")</f>
        <v>-</v>
      </c>
      <c r="O20"/>
    </row>
    <row r="21" spans="1:15" x14ac:dyDescent="0.25">
      <c r="A21" t="s">
        <v>5</v>
      </c>
      <c r="B21" s="1">
        <v>3</v>
      </c>
      <c r="C21" t="s">
        <v>19</v>
      </c>
      <c r="D21" s="1">
        <v>53</v>
      </c>
      <c r="E21" t="s">
        <v>23</v>
      </c>
      <c r="F21" s="1">
        <v>243</v>
      </c>
      <c r="G21" t="s">
        <v>189</v>
      </c>
      <c r="H21" s="3">
        <v>16</v>
      </c>
      <c r="I21" t="s">
        <v>102</v>
      </c>
      <c r="J21" s="3">
        <v>16</v>
      </c>
      <c r="K21" t="s">
        <v>175</v>
      </c>
      <c r="L21" s="6">
        <v>43830.685081018521</v>
      </c>
      <c r="M21" s="8">
        <f>IFERROR(Tabla_kronos_MCSIG_PEI[[#This Row],[SIA_CANTIDAD]]/Tabla_kronos_MCSIG_PEI[[#This Row],[SIP_CANTIDAD]],"Meta sin Valor")</f>
        <v>1</v>
      </c>
      <c r="N21" s="1" t="str">
        <f>IFERROR(IF(VLOOKUP(Tabla_kronos_MCSIG_PEI[[#This Row],[SIN_ID]],#REF!,1,0)&gt;0,"X","-"),"-")</f>
        <v>-</v>
      </c>
      <c r="O21"/>
    </row>
    <row r="22" spans="1:15" x14ac:dyDescent="0.25">
      <c r="A22" t="s">
        <v>6</v>
      </c>
      <c r="B22" s="1">
        <v>3</v>
      </c>
      <c r="C22" t="s">
        <v>19</v>
      </c>
      <c r="D22" s="1">
        <v>53</v>
      </c>
      <c r="E22" t="s">
        <v>23</v>
      </c>
      <c r="F22" s="1">
        <v>244</v>
      </c>
      <c r="G22" t="s">
        <v>24</v>
      </c>
      <c r="H22" s="3">
        <v>4251</v>
      </c>
      <c r="I22" t="s">
        <v>102</v>
      </c>
      <c r="J22" s="3">
        <v>4664</v>
      </c>
      <c r="K22" t="s">
        <v>212</v>
      </c>
      <c r="L22" s="6">
        <v>43830.57671296296</v>
      </c>
      <c r="M22" s="8">
        <f>IFERROR(Tabla_kronos_MCSIG_PEI[[#This Row],[SIA_CANTIDAD]]/Tabla_kronos_MCSIG_PEI[[#This Row],[SIP_CANTIDAD]],"Meta sin Valor")</f>
        <v>1.0971536109150788</v>
      </c>
      <c r="N22" s="1" t="str">
        <f>IFERROR(IF(VLOOKUP(Tabla_kronos_MCSIG_PEI[[#This Row],[SIN_ID]],#REF!,1,0)&gt;0,"X","-"),"-")</f>
        <v>-</v>
      </c>
      <c r="O22"/>
    </row>
    <row r="23" spans="1:15" x14ac:dyDescent="0.25">
      <c r="A23" t="s">
        <v>6</v>
      </c>
      <c r="B23" s="1">
        <v>3</v>
      </c>
      <c r="C23" t="s">
        <v>19</v>
      </c>
      <c r="D23" s="1">
        <v>53</v>
      </c>
      <c r="E23" t="s">
        <v>23</v>
      </c>
      <c r="F23" s="1">
        <v>245</v>
      </c>
      <c r="G23" t="s">
        <v>85</v>
      </c>
      <c r="H23" s="3">
        <v>176272</v>
      </c>
      <c r="I23" t="s">
        <v>102</v>
      </c>
      <c r="J23" s="3">
        <v>187566</v>
      </c>
      <c r="K23" t="s">
        <v>213</v>
      </c>
      <c r="L23" s="6">
        <v>43830.673530092594</v>
      </c>
      <c r="M23" s="8">
        <f>IFERROR(Tabla_kronos_MCSIG_PEI[[#This Row],[SIA_CANTIDAD]]/Tabla_kronos_MCSIG_PEI[[#This Row],[SIP_CANTIDAD]],"Meta sin Valor")</f>
        <v>1.0640714350549152</v>
      </c>
      <c r="N23" s="1" t="str">
        <f>IFERROR(IF(VLOOKUP(Tabla_kronos_MCSIG_PEI[[#This Row],[SIN_ID]],#REF!,1,0)&gt;0,"X","-"),"-")</f>
        <v>-</v>
      </c>
      <c r="O23"/>
    </row>
    <row r="24" spans="1:15" x14ac:dyDescent="0.25">
      <c r="A24" t="s">
        <v>25</v>
      </c>
      <c r="B24" s="1">
        <v>3</v>
      </c>
      <c r="C24" t="s">
        <v>19</v>
      </c>
      <c r="D24" s="1">
        <v>53</v>
      </c>
      <c r="E24" t="s">
        <v>23</v>
      </c>
      <c r="F24" s="1">
        <v>246</v>
      </c>
      <c r="G24" t="s">
        <v>86</v>
      </c>
      <c r="H24" s="3">
        <v>4</v>
      </c>
      <c r="I24" t="s">
        <v>102</v>
      </c>
      <c r="J24" s="3">
        <v>16</v>
      </c>
      <c r="K24" t="s">
        <v>201</v>
      </c>
      <c r="L24" s="6">
        <v>43830.671180555553</v>
      </c>
      <c r="M24" s="8">
        <f>IFERROR(Tabla_kronos_MCSIG_PEI[[#This Row],[SIA_CANTIDAD]]/Tabla_kronos_MCSIG_PEI[[#This Row],[SIP_CANTIDAD]],"Meta sin Valor")</f>
        <v>4</v>
      </c>
      <c r="N24" s="1" t="str">
        <f>IFERROR(IF(VLOOKUP(Tabla_kronos_MCSIG_PEI[[#This Row],[SIN_ID]],#REF!,1,0)&gt;0,"X","-"),"-")</f>
        <v>-</v>
      </c>
      <c r="O24"/>
    </row>
    <row r="25" spans="1:15" x14ac:dyDescent="0.25">
      <c r="A25" t="s">
        <v>26</v>
      </c>
      <c r="B25" s="1">
        <v>3</v>
      </c>
      <c r="C25" t="s">
        <v>19</v>
      </c>
      <c r="D25" s="1">
        <v>53</v>
      </c>
      <c r="E25" t="s">
        <v>23</v>
      </c>
      <c r="F25" s="1">
        <v>247</v>
      </c>
      <c r="G25" t="s">
        <v>27</v>
      </c>
      <c r="H25" s="3">
        <v>10</v>
      </c>
      <c r="I25" t="s">
        <v>102</v>
      </c>
      <c r="J25" s="3">
        <v>10</v>
      </c>
      <c r="K25" t="s">
        <v>159</v>
      </c>
      <c r="L25" s="6">
        <v>43830.673043981478</v>
      </c>
      <c r="M25" s="8">
        <f>IFERROR(Tabla_kronos_MCSIG_PEI[[#This Row],[SIA_CANTIDAD]]/Tabla_kronos_MCSIG_PEI[[#This Row],[SIP_CANTIDAD]],"Meta sin Valor")</f>
        <v>1</v>
      </c>
      <c r="N25" s="1" t="str">
        <f>IFERROR(IF(VLOOKUP(Tabla_kronos_MCSIG_PEI[[#This Row],[SIN_ID]],#REF!,1,0)&gt;0,"X","-"),"-")</f>
        <v>-</v>
      </c>
      <c r="O25"/>
    </row>
    <row r="26" spans="1:15" x14ac:dyDescent="0.25">
      <c r="A26" t="s">
        <v>12</v>
      </c>
      <c r="B26" s="1">
        <v>3</v>
      </c>
      <c r="C26" t="s">
        <v>19</v>
      </c>
      <c r="D26" s="1">
        <v>53</v>
      </c>
      <c r="E26" t="s">
        <v>23</v>
      </c>
      <c r="F26" s="1">
        <v>307</v>
      </c>
      <c r="G26" t="s">
        <v>28</v>
      </c>
      <c r="H26" s="3">
        <v>1</v>
      </c>
      <c r="I26" t="s">
        <v>102</v>
      </c>
      <c r="J26" s="3">
        <v>1</v>
      </c>
      <c r="K26" t="s">
        <v>220</v>
      </c>
      <c r="L26" s="6">
        <v>43830.490902777776</v>
      </c>
      <c r="M26" s="8">
        <f>IFERROR(Tabla_kronos_MCSIG_PEI[[#This Row],[SIA_CANTIDAD]]/Tabla_kronos_MCSIG_PEI[[#This Row],[SIP_CANTIDAD]],"Meta sin Valor")</f>
        <v>1</v>
      </c>
      <c r="N26" s="1" t="str">
        <f>IFERROR(IF(VLOOKUP(Tabla_kronos_MCSIG_PEI[[#This Row],[SIN_ID]],#REF!,1,0)&gt;0,"X","-"),"-")</f>
        <v>-</v>
      </c>
      <c r="O26"/>
    </row>
    <row r="27" spans="1:15" x14ac:dyDescent="0.25">
      <c r="A27" t="s">
        <v>26</v>
      </c>
      <c r="B27" s="1">
        <v>3</v>
      </c>
      <c r="C27" t="s">
        <v>19</v>
      </c>
      <c r="D27" s="1">
        <v>55</v>
      </c>
      <c r="E27" t="s">
        <v>31</v>
      </c>
      <c r="F27" s="1">
        <v>249</v>
      </c>
      <c r="G27" t="s">
        <v>132</v>
      </c>
      <c r="H27" s="3">
        <v>250</v>
      </c>
      <c r="I27" t="s">
        <v>102</v>
      </c>
      <c r="J27" s="3">
        <v>256</v>
      </c>
      <c r="K27" t="s">
        <v>176</v>
      </c>
      <c r="L27" s="6">
        <v>43830.637361111112</v>
      </c>
      <c r="M27" s="8">
        <f>IFERROR(Tabla_kronos_MCSIG_PEI[[#This Row],[SIA_CANTIDAD]]/Tabla_kronos_MCSIG_PEI[[#This Row],[SIP_CANTIDAD]],"Meta sin Valor")</f>
        <v>1.024</v>
      </c>
      <c r="N27" s="1" t="str">
        <f>IFERROR(IF(VLOOKUP(Tabla_kronos_MCSIG_PEI[[#This Row],[SIN_ID]],#REF!,1,0)&gt;0,"X","-"),"-")</f>
        <v>-</v>
      </c>
      <c r="O27"/>
    </row>
    <row r="28" spans="1:15" x14ac:dyDescent="0.25">
      <c r="A28" t="s">
        <v>32</v>
      </c>
      <c r="B28" s="1">
        <v>3</v>
      </c>
      <c r="C28" t="s">
        <v>19</v>
      </c>
      <c r="D28" s="1">
        <v>55</v>
      </c>
      <c r="E28" t="s">
        <v>31</v>
      </c>
      <c r="F28" s="1">
        <v>250</v>
      </c>
      <c r="G28" t="s">
        <v>33</v>
      </c>
      <c r="H28" s="3">
        <v>80</v>
      </c>
      <c r="I28" t="s">
        <v>102</v>
      </c>
      <c r="J28" s="3">
        <v>104</v>
      </c>
      <c r="K28" t="s">
        <v>232</v>
      </c>
      <c r="L28" s="6">
        <v>43830.675335648149</v>
      </c>
      <c r="M28" s="8">
        <f>IFERROR(Tabla_kronos_MCSIG_PEI[[#This Row],[SIA_CANTIDAD]]/Tabla_kronos_MCSIG_PEI[[#This Row],[SIP_CANTIDAD]],"Meta sin Valor")</f>
        <v>1.3</v>
      </c>
      <c r="N28" s="1" t="str">
        <f>IFERROR(IF(VLOOKUP(Tabla_kronos_MCSIG_PEI[[#This Row],[SIN_ID]],#REF!,1,0)&gt;0,"X","-"),"-")</f>
        <v>-</v>
      </c>
      <c r="O28"/>
    </row>
    <row r="29" spans="1:15" x14ac:dyDescent="0.25">
      <c r="A29" t="s">
        <v>87</v>
      </c>
      <c r="B29" s="1">
        <v>3</v>
      </c>
      <c r="C29" t="s">
        <v>19</v>
      </c>
      <c r="D29" s="1">
        <v>55</v>
      </c>
      <c r="E29" t="s">
        <v>31</v>
      </c>
      <c r="F29" s="1">
        <v>251</v>
      </c>
      <c r="G29" t="s">
        <v>88</v>
      </c>
      <c r="H29" s="3">
        <v>230</v>
      </c>
      <c r="I29" t="s">
        <v>102</v>
      </c>
      <c r="J29" s="3">
        <v>263</v>
      </c>
      <c r="K29" t="s">
        <v>225</v>
      </c>
      <c r="L29" s="6">
        <v>43829.660810185182</v>
      </c>
      <c r="M29" s="8">
        <f>IFERROR(Tabla_kronos_MCSIG_PEI[[#This Row],[SIA_CANTIDAD]]/Tabla_kronos_MCSIG_PEI[[#This Row],[SIP_CANTIDAD]],"Meta sin Valor")</f>
        <v>1.1434782608695653</v>
      </c>
      <c r="N29" s="1" t="str">
        <f>IFERROR(IF(VLOOKUP(Tabla_kronos_MCSIG_PEI[[#This Row],[SIN_ID]],#REF!,1,0)&gt;0,"X","-"),"-")</f>
        <v>-</v>
      </c>
      <c r="O29"/>
    </row>
    <row r="30" spans="1:15" x14ac:dyDescent="0.25">
      <c r="A30" t="s">
        <v>25</v>
      </c>
      <c r="B30" s="1">
        <v>3</v>
      </c>
      <c r="C30" t="s">
        <v>19</v>
      </c>
      <c r="D30" s="1">
        <v>54</v>
      </c>
      <c r="E30" t="s">
        <v>29</v>
      </c>
      <c r="F30" s="1">
        <v>248</v>
      </c>
      <c r="G30" t="s">
        <v>30</v>
      </c>
      <c r="H30" s="3">
        <v>2000000</v>
      </c>
      <c r="I30" t="s">
        <v>102</v>
      </c>
      <c r="J30" s="3">
        <v>2211031</v>
      </c>
      <c r="K30" t="s">
        <v>202</v>
      </c>
      <c r="L30" s="6">
        <v>43830.759467592594</v>
      </c>
      <c r="M30" s="8">
        <f>IFERROR(Tabla_kronos_MCSIG_PEI[[#This Row],[SIA_CANTIDAD]]/Tabla_kronos_MCSIG_PEI[[#This Row],[SIP_CANTIDAD]],"Meta sin Valor")</f>
        <v>1.1055155000000001</v>
      </c>
      <c r="N30" s="1" t="str">
        <f>IFERROR(IF(VLOOKUP(Tabla_kronos_MCSIG_PEI[[#This Row],[SIN_ID]],#REF!,1,0)&gt;0,"X","-"),"-")</f>
        <v>-</v>
      </c>
      <c r="O30"/>
    </row>
    <row r="31" spans="1:15" x14ac:dyDescent="0.25">
      <c r="A31" t="s">
        <v>133</v>
      </c>
      <c r="B31" s="1">
        <v>3</v>
      </c>
      <c r="C31" t="s">
        <v>19</v>
      </c>
      <c r="D31" s="1">
        <v>52</v>
      </c>
      <c r="E31" t="s">
        <v>20</v>
      </c>
      <c r="F31" s="1">
        <v>238</v>
      </c>
      <c r="G31" t="s">
        <v>134</v>
      </c>
      <c r="H31" s="3">
        <v>0</v>
      </c>
      <c r="I31" t="s">
        <v>102</v>
      </c>
      <c r="J31" s="3">
        <v>0</v>
      </c>
      <c r="K31" t="s">
        <v>135</v>
      </c>
      <c r="L31" s="6">
        <v>43830.447951388887</v>
      </c>
      <c r="M31" s="8" t="str">
        <f>IFERROR(Tabla_kronos_MCSIG_PEI[[#This Row],[SIA_CANTIDAD]]/Tabla_kronos_MCSIG_PEI[[#This Row],[SIP_CANTIDAD]],"Meta sin Valor")</f>
        <v>Meta sin Valor</v>
      </c>
      <c r="N31" s="1" t="str">
        <f>IFERROR(IF(VLOOKUP(Tabla_kronos_MCSIG_PEI[[#This Row],[SIN_ID]],#REF!,1,0)&gt;0,"X","-"),"-")</f>
        <v>-</v>
      </c>
      <c r="O31"/>
    </row>
    <row r="32" spans="1:15" x14ac:dyDescent="0.25">
      <c r="A32" t="s">
        <v>133</v>
      </c>
      <c r="B32" s="1">
        <v>3</v>
      </c>
      <c r="C32" t="s">
        <v>19</v>
      </c>
      <c r="D32" s="1">
        <v>52</v>
      </c>
      <c r="E32" t="s">
        <v>20</v>
      </c>
      <c r="F32" s="1">
        <v>239</v>
      </c>
      <c r="G32" t="s">
        <v>136</v>
      </c>
      <c r="H32" s="3">
        <v>0</v>
      </c>
      <c r="I32" t="s">
        <v>102</v>
      </c>
      <c r="J32" s="3">
        <v>0</v>
      </c>
      <c r="K32" t="s">
        <v>135</v>
      </c>
      <c r="L32" s="6">
        <v>43830.449872685182</v>
      </c>
      <c r="M32" s="8" t="str">
        <f>IFERROR(Tabla_kronos_MCSIG_PEI[[#This Row],[SIA_CANTIDAD]]/Tabla_kronos_MCSIG_PEI[[#This Row],[SIP_CANTIDAD]],"Meta sin Valor")</f>
        <v>Meta sin Valor</v>
      </c>
      <c r="N32" s="1" t="str">
        <f>IFERROR(IF(VLOOKUP(Tabla_kronos_MCSIG_PEI[[#This Row],[SIN_ID]],#REF!,1,0)&gt;0,"X","-"),"-")</f>
        <v>-</v>
      </c>
      <c r="O32"/>
    </row>
    <row r="33" spans="1:15" x14ac:dyDescent="0.25">
      <c r="A33" t="s">
        <v>133</v>
      </c>
      <c r="B33" s="1">
        <v>3</v>
      </c>
      <c r="C33" t="s">
        <v>19</v>
      </c>
      <c r="D33" s="1">
        <v>52</v>
      </c>
      <c r="E33" t="s">
        <v>20</v>
      </c>
      <c r="F33" s="1">
        <v>240</v>
      </c>
      <c r="G33" t="s">
        <v>21</v>
      </c>
      <c r="H33" s="3">
        <v>2800</v>
      </c>
      <c r="I33" t="s">
        <v>102</v>
      </c>
      <c r="J33" s="3">
        <v>2800</v>
      </c>
      <c r="K33" t="s">
        <v>185</v>
      </c>
      <c r="L33" s="6">
        <v>43799.451111111113</v>
      </c>
      <c r="M33" s="8">
        <f>IFERROR(Tabla_kronos_MCSIG_PEI[[#This Row],[SIA_CANTIDAD]]/Tabla_kronos_MCSIG_PEI[[#This Row],[SIP_CANTIDAD]],"Meta sin Valor")</f>
        <v>1</v>
      </c>
      <c r="N33" s="1" t="str">
        <f>IFERROR(IF(VLOOKUP(Tabla_kronos_MCSIG_PEI[[#This Row],[SIN_ID]],#REF!,1,0)&gt;0,"X","-"),"-")</f>
        <v>-</v>
      </c>
      <c r="O33"/>
    </row>
    <row r="34" spans="1:15" x14ac:dyDescent="0.25">
      <c r="A34" t="s">
        <v>6</v>
      </c>
      <c r="B34" s="1">
        <v>3</v>
      </c>
      <c r="C34" t="s">
        <v>19</v>
      </c>
      <c r="D34" s="1">
        <v>52</v>
      </c>
      <c r="E34" t="s">
        <v>20</v>
      </c>
      <c r="F34" s="1">
        <v>241</v>
      </c>
      <c r="G34" t="s">
        <v>22</v>
      </c>
      <c r="H34" s="3">
        <v>750000</v>
      </c>
      <c r="I34" t="s">
        <v>102</v>
      </c>
      <c r="J34" s="3">
        <v>1700038</v>
      </c>
      <c r="K34" t="s">
        <v>162</v>
      </c>
      <c r="L34" s="6">
        <v>43799.45753472222</v>
      </c>
      <c r="M34" s="8">
        <f>IFERROR(Tabla_kronos_MCSIG_PEI[[#This Row],[SIA_CANTIDAD]]/Tabla_kronos_MCSIG_PEI[[#This Row],[SIP_CANTIDAD]],"Meta sin Valor")</f>
        <v>2.2667173333333333</v>
      </c>
      <c r="N34" s="1" t="str">
        <f>IFERROR(IF(VLOOKUP(Tabla_kronos_MCSIG_PEI[[#This Row],[SIN_ID]],#REF!,1,0)&gt;0,"X","-"),"-")</f>
        <v>-</v>
      </c>
      <c r="O34"/>
    </row>
    <row r="35" spans="1:15" x14ac:dyDescent="0.25">
      <c r="A35" t="s">
        <v>133</v>
      </c>
      <c r="B35" s="1">
        <v>3</v>
      </c>
      <c r="C35" t="s">
        <v>19</v>
      </c>
      <c r="D35" s="1">
        <v>52</v>
      </c>
      <c r="E35" t="s">
        <v>20</v>
      </c>
      <c r="F35" s="1">
        <v>242</v>
      </c>
      <c r="G35" t="s">
        <v>84</v>
      </c>
      <c r="H35" s="3">
        <v>543</v>
      </c>
      <c r="I35" t="s">
        <v>102</v>
      </c>
      <c r="J35" s="3">
        <v>543</v>
      </c>
      <c r="K35" t="s">
        <v>137</v>
      </c>
      <c r="L35" s="6">
        <v>43830.460856481484</v>
      </c>
      <c r="M35" s="8">
        <f>IFERROR(Tabla_kronos_MCSIG_PEI[[#This Row],[SIA_CANTIDAD]]/Tabla_kronos_MCSIG_PEI[[#This Row],[SIP_CANTIDAD]],"Meta sin Valor")</f>
        <v>1</v>
      </c>
      <c r="N35" s="1" t="str">
        <f>IFERROR(IF(VLOOKUP(Tabla_kronos_MCSIG_PEI[[#This Row],[SIN_ID]],#REF!,1,0)&gt;0,"X","-"),"-")</f>
        <v>-</v>
      </c>
      <c r="O35"/>
    </row>
    <row r="36" spans="1:15" x14ac:dyDescent="0.25">
      <c r="A36" t="s">
        <v>3</v>
      </c>
      <c r="B36" s="1">
        <v>4</v>
      </c>
      <c r="C36" t="s">
        <v>34</v>
      </c>
      <c r="D36" s="1">
        <v>56</v>
      </c>
      <c r="E36" t="s">
        <v>186</v>
      </c>
      <c r="F36" s="1">
        <v>252</v>
      </c>
      <c r="G36" t="s">
        <v>35</v>
      </c>
      <c r="H36" s="3">
        <v>3</v>
      </c>
      <c r="I36" t="s">
        <v>102</v>
      </c>
      <c r="J36" s="3">
        <v>2</v>
      </c>
      <c r="K36" t="s">
        <v>234</v>
      </c>
      <c r="L36" s="6">
        <v>43830.645520833335</v>
      </c>
      <c r="M36" s="8">
        <f>IFERROR(Tabla_kronos_MCSIG_PEI[[#This Row],[SIA_CANTIDAD]]/Tabla_kronos_MCSIG_PEI[[#This Row],[SIP_CANTIDAD]],"Meta sin Valor")</f>
        <v>0.66666666666666663</v>
      </c>
      <c r="N36" s="1" t="str">
        <f>IFERROR(IF(VLOOKUP(Tabla_kronos_MCSIG_PEI[[#This Row],[SIN_ID]],#REF!,1,0)&gt;0,"X","-"),"-")</f>
        <v>-</v>
      </c>
      <c r="O36"/>
    </row>
    <row r="37" spans="1:15" x14ac:dyDescent="0.25">
      <c r="A37" t="s">
        <v>36</v>
      </c>
      <c r="B37" s="1">
        <v>4</v>
      </c>
      <c r="C37" t="s">
        <v>34</v>
      </c>
      <c r="D37" s="1">
        <v>57</v>
      </c>
      <c r="E37" t="s">
        <v>203</v>
      </c>
      <c r="F37" s="1">
        <v>253</v>
      </c>
      <c r="G37" t="s">
        <v>37</v>
      </c>
      <c r="H37" s="3">
        <v>10000000000</v>
      </c>
      <c r="I37" t="s">
        <v>102</v>
      </c>
      <c r="J37" s="3">
        <v>11359904293</v>
      </c>
      <c r="K37" t="s">
        <v>160</v>
      </c>
      <c r="L37" s="6">
        <v>43799.495462962965</v>
      </c>
      <c r="M37" s="8">
        <f>IFERROR(Tabla_kronos_MCSIG_PEI[[#This Row],[SIA_CANTIDAD]]/Tabla_kronos_MCSIG_PEI[[#This Row],[SIP_CANTIDAD]],"Meta sin Valor")</f>
        <v>1.1359904293</v>
      </c>
      <c r="N37" s="1" t="str">
        <f>IFERROR(IF(VLOOKUP(Tabla_kronos_MCSIG_PEI[[#This Row],[SIN_ID]],#REF!,1,0)&gt;0,"X","-"),"-")</f>
        <v>-</v>
      </c>
      <c r="O37"/>
    </row>
    <row r="38" spans="1:15" x14ac:dyDescent="0.25">
      <c r="A38" t="s">
        <v>10</v>
      </c>
      <c r="B38" s="1">
        <v>4</v>
      </c>
      <c r="C38" t="s">
        <v>34</v>
      </c>
      <c r="D38" s="1">
        <v>57</v>
      </c>
      <c r="E38" t="s">
        <v>203</v>
      </c>
      <c r="F38" s="1">
        <v>254</v>
      </c>
      <c r="G38" t="s">
        <v>89</v>
      </c>
      <c r="H38" s="3">
        <v>70</v>
      </c>
      <c r="I38" t="s">
        <v>102</v>
      </c>
      <c r="J38" s="3">
        <v>86</v>
      </c>
      <c r="K38" t="s">
        <v>231</v>
      </c>
      <c r="L38" s="6">
        <v>43830.550949074073</v>
      </c>
      <c r="M38" s="8">
        <f>IFERROR(Tabla_kronos_MCSIG_PEI[[#This Row],[SIA_CANTIDAD]]/Tabla_kronos_MCSIG_PEI[[#This Row],[SIP_CANTIDAD]],"Meta sin Valor")</f>
        <v>1.2285714285714286</v>
      </c>
      <c r="N38" s="1" t="str">
        <f>IFERROR(IF(VLOOKUP(Tabla_kronos_MCSIG_PEI[[#This Row],[SIN_ID]],#REF!,1,0)&gt;0,"X","-"),"-")</f>
        <v>-</v>
      </c>
      <c r="O38"/>
    </row>
    <row r="39" spans="1:15" x14ac:dyDescent="0.25">
      <c r="A39" t="s">
        <v>6</v>
      </c>
      <c r="B39" s="1">
        <v>5</v>
      </c>
      <c r="C39" t="s">
        <v>38</v>
      </c>
      <c r="D39" s="1">
        <v>60</v>
      </c>
      <c r="E39" t="s">
        <v>41</v>
      </c>
      <c r="F39" s="1">
        <v>259</v>
      </c>
      <c r="G39" t="s">
        <v>42</v>
      </c>
      <c r="H39" s="3">
        <v>1</v>
      </c>
      <c r="I39" t="s">
        <v>102</v>
      </c>
      <c r="J39" s="3">
        <v>1</v>
      </c>
      <c r="K39" t="s">
        <v>214</v>
      </c>
      <c r="L39" s="6">
        <v>43830.406053240738</v>
      </c>
      <c r="M39" s="8">
        <f>IFERROR(Tabla_kronos_MCSIG_PEI[[#This Row],[SIA_CANTIDAD]]/Tabla_kronos_MCSIG_PEI[[#This Row],[SIP_CANTIDAD]],"Meta sin Valor")</f>
        <v>1</v>
      </c>
      <c r="N39" s="1" t="str">
        <f>IFERROR(IF(VLOOKUP(Tabla_kronos_MCSIG_PEI[[#This Row],[SIN_ID]],#REF!,1,0)&gt;0,"X","-"),"-")</f>
        <v>-</v>
      </c>
      <c r="O39"/>
    </row>
    <row r="40" spans="1:15" x14ac:dyDescent="0.25">
      <c r="A40" t="s">
        <v>12</v>
      </c>
      <c r="B40" s="1">
        <v>5</v>
      </c>
      <c r="C40" t="s">
        <v>38</v>
      </c>
      <c r="D40" s="1">
        <v>60</v>
      </c>
      <c r="E40" t="s">
        <v>41</v>
      </c>
      <c r="F40" s="1">
        <v>290</v>
      </c>
      <c r="G40" t="s">
        <v>138</v>
      </c>
      <c r="H40" s="3">
        <v>10</v>
      </c>
      <c r="I40" t="s">
        <v>102</v>
      </c>
      <c r="J40" s="3">
        <v>10</v>
      </c>
      <c r="K40" t="s">
        <v>221</v>
      </c>
      <c r="L40" s="6">
        <v>43830.495787037034</v>
      </c>
      <c r="M40" s="8">
        <f>IFERROR(Tabla_kronos_MCSIG_PEI[[#This Row],[SIA_CANTIDAD]]/Tabla_kronos_MCSIG_PEI[[#This Row],[SIP_CANTIDAD]],"Meta sin Valor")</f>
        <v>1</v>
      </c>
      <c r="N40" s="1" t="str">
        <f>IFERROR(IF(VLOOKUP(Tabla_kronos_MCSIG_PEI[[#This Row],[SIN_ID]],#REF!,1,0)&gt;0,"X","-"),"-")</f>
        <v>-</v>
      </c>
      <c r="O40"/>
    </row>
    <row r="41" spans="1:15" x14ac:dyDescent="0.25">
      <c r="A41" t="s">
        <v>6</v>
      </c>
      <c r="B41" s="1">
        <v>5</v>
      </c>
      <c r="C41" t="s">
        <v>38</v>
      </c>
      <c r="D41" s="1">
        <v>60</v>
      </c>
      <c r="E41" t="s">
        <v>41</v>
      </c>
      <c r="F41" s="1">
        <v>309</v>
      </c>
      <c r="G41" t="s">
        <v>90</v>
      </c>
      <c r="H41" s="3">
        <v>100</v>
      </c>
      <c r="I41" t="s">
        <v>102</v>
      </c>
      <c r="J41" s="3">
        <v>100</v>
      </c>
      <c r="K41" t="s">
        <v>139</v>
      </c>
      <c r="L41" s="6">
        <v>43830.406319444446</v>
      </c>
      <c r="M41" s="8">
        <f>IFERROR(Tabla_kronos_MCSIG_PEI[[#This Row],[SIA_CANTIDAD]]/Tabla_kronos_MCSIG_PEI[[#This Row],[SIP_CANTIDAD]],"Meta sin Valor")</f>
        <v>1</v>
      </c>
      <c r="N41" s="1" t="str">
        <f>IFERROR(IF(VLOOKUP(Tabla_kronos_MCSIG_PEI[[#This Row],[SIN_ID]],#REF!,1,0)&gt;0,"X","-"),"-")</f>
        <v>-</v>
      </c>
      <c r="O41"/>
    </row>
    <row r="42" spans="1:15" x14ac:dyDescent="0.25">
      <c r="A42" t="s">
        <v>140</v>
      </c>
      <c r="B42" s="1">
        <v>5</v>
      </c>
      <c r="C42" t="s">
        <v>38</v>
      </c>
      <c r="D42" s="1">
        <v>58</v>
      </c>
      <c r="E42" t="s">
        <v>39</v>
      </c>
      <c r="F42" s="1">
        <v>255</v>
      </c>
      <c r="G42" t="s">
        <v>141</v>
      </c>
      <c r="H42" s="3">
        <v>81</v>
      </c>
      <c r="I42" t="s">
        <v>102</v>
      </c>
      <c r="J42" s="3">
        <v>81</v>
      </c>
      <c r="K42" t="s">
        <v>210</v>
      </c>
      <c r="L42" s="6">
        <v>43799.647974537038</v>
      </c>
      <c r="M42" s="8">
        <f>IFERROR(Tabla_kronos_MCSIG_PEI[[#This Row],[SIA_CANTIDAD]]/Tabla_kronos_MCSIG_PEI[[#This Row],[SIP_CANTIDAD]],"Meta sin Valor")</f>
        <v>1</v>
      </c>
      <c r="N42" s="1" t="str">
        <f>IFERROR(IF(VLOOKUP(Tabla_kronos_MCSIG_PEI[[#This Row],[SIN_ID]],#REF!,1,0)&gt;0,"X","-"),"-")</f>
        <v>-</v>
      </c>
      <c r="O42"/>
    </row>
    <row r="43" spans="1:15" x14ac:dyDescent="0.25">
      <c r="A43" t="s">
        <v>142</v>
      </c>
      <c r="B43" s="1">
        <v>5</v>
      </c>
      <c r="C43" t="s">
        <v>38</v>
      </c>
      <c r="D43" s="1">
        <v>58</v>
      </c>
      <c r="E43" t="s">
        <v>39</v>
      </c>
      <c r="F43" s="1">
        <v>256</v>
      </c>
      <c r="G43" t="s">
        <v>143</v>
      </c>
      <c r="H43" s="3">
        <v>0</v>
      </c>
      <c r="I43" t="s">
        <v>102</v>
      </c>
      <c r="J43" s="3">
        <v>0</v>
      </c>
      <c r="K43" t="s">
        <v>226</v>
      </c>
      <c r="L43" s="6">
        <v>43654.482708333337</v>
      </c>
      <c r="M43" s="8" t="str">
        <f>IFERROR(Tabla_kronos_MCSIG_PEI[[#This Row],[SIA_CANTIDAD]]/Tabla_kronos_MCSIG_PEI[[#This Row],[SIP_CANTIDAD]],"Meta sin Valor")</f>
        <v>Meta sin Valor</v>
      </c>
      <c r="N43" s="1" t="str">
        <f>IFERROR(IF(VLOOKUP(Tabla_kronos_MCSIG_PEI[[#This Row],[SIN_ID]],#REF!,1,0)&gt;0,"X","-"),"-")</f>
        <v>-</v>
      </c>
      <c r="O43"/>
    </row>
    <row r="44" spans="1:15" x14ac:dyDescent="0.25">
      <c r="A44" t="s">
        <v>142</v>
      </c>
      <c r="B44" s="1">
        <v>5</v>
      </c>
      <c r="C44" t="s">
        <v>38</v>
      </c>
      <c r="D44" s="1">
        <v>58</v>
      </c>
      <c r="E44" t="s">
        <v>39</v>
      </c>
      <c r="F44" s="1">
        <v>257</v>
      </c>
      <c r="G44" t="s">
        <v>40</v>
      </c>
      <c r="H44" s="3">
        <v>82</v>
      </c>
      <c r="I44" t="s">
        <v>102</v>
      </c>
      <c r="J44" s="3">
        <v>82</v>
      </c>
      <c r="K44" t="s">
        <v>227</v>
      </c>
      <c r="L44" s="6">
        <v>43654.488321759258</v>
      </c>
      <c r="M44" s="8">
        <f>IFERROR(Tabla_kronos_MCSIG_PEI[[#This Row],[SIA_CANTIDAD]]/Tabla_kronos_MCSIG_PEI[[#This Row],[SIP_CANTIDAD]],"Meta sin Valor")</f>
        <v>1</v>
      </c>
      <c r="N44" s="1" t="str">
        <f>IFERROR(IF(VLOOKUP(Tabla_kronos_MCSIG_PEI[[#This Row],[SIN_ID]],#REF!,1,0)&gt;0,"X","-"),"-")</f>
        <v>-</v>
      </c>
      <c r="O44"/>
    </row>
    <row r="45" spans="1:15" x14ac:dyDescent="0.25">
      <c r="A45" t="s">
        <v>12</v>
      </c>
      <c r="B45" s="1">
        <v>5</v>
      </c>
      <c r="C45" t="s">
        <v>38</v>
      </c>
      <c r="D45" s="1">
        <v>58</v>
      </c>
      <c r="E45" t="s">
        <v>39</v>
      </c>
      <c r="F45" s="1">
        <v>308</v>
      </c>
      <c r="G45" t="s">
        <v>144</v>
      </c>
      <c r="H45" s="3">
        <v>0</v>
      </c>
      <c r="I45" t="s">
        <v>102</v>
      </c>
      <c r="J45" s="3"/>
      <c r="L45" s="6"/>
      <c r="M45" s="8" t="str">
        <f>IFERROR(Tabla_kronos_MCSIG_PEI[[#This Row],[SIA_CANTIDAD]]/Tabla_kronos_MCSIG_PEI[[#This Row],[SIP_CANTIDAD]],"Meta sin Valor")</f>
        <v>Meta sin Valor</v>
      </c>
      <c r="N45" s="1" t="str">
        <f>IFERROR(IF(VLOOKUP(Tabla_kronos_MCSIG_PEI[[#This Row],[SIN_ID]],#REF!,1,0)&gt;0,"X","-"),"-")</f>
        <v>-</v>
      </c>
      <c r="O45"/>
    </row>
    <row r="46" spans="1:15" x14ac:dyDescent="0.25">
      <c r="A46" t="s">
        <v>5</v>
      </c>
      <c r="B46" s="1">
        <v>6</v>
      </c>
      <c r="C46" t="s">
        <v>43</v>
      </c>
      <c r="D46" s="1">
        <v>62</v>
      </c>
      <c r="E46" t="s">
        <v>47</v>
      </c>
      <c r="F46" s="1">
        <v>262</v>
      </c>
      <c r="G46" t="s">
        <v>145</v>
      </c>
      <c r="H46" s="3">
        <v>6</v>
      </c>
      <c r="I46" t="s">
        <v>102</v>
      </c>
      <c r="J46" s="3">
        <v>6</v>
      </c>
      <c r="K46" t="s">
        <v>163</v>
      </c>
      <c r="L46" s="6">
        <v>43830.659363425926</v>
      </c>
      <c r="M46" s="8">
        <f>IFERROR(Tabla_kronos_MCSIG_PEI[[#This Row],[SIA_CANTIDAD]]/Tabla_kronos_MCSIG_PEI[[#This Row],[SIP_CANTIDAD]],"Meta sin Valor")</f>
        <v>1</v>
      </c>
      <c r="N46" s="1" t="str">
        <f>IFERROR(IF(VLOOKUP(Tabla_kronos_MCSIG_PEI[[#This Row],[SIN_ID]],#REF!,1,0)&gt;0,"X","-"),"-")</f>
        <v>-</v>
      </c>
      <c r="O46"/>
    </row>
    <row r="47" spans="1:15" x14ac:dyDescent="0.25">
      <c r="A47" t="s">
        <v>5</v>
      </c>
      <c r="B47" s="1">
        <v>6</v>
      </c>
      <c r="C47" t="s">
        <v>43</v>
      </c>
      <c r="D47" s="1">
        <v>62</v>
      </c>
      <c r="E47" t="s">
        <v>47</v>
      </c>
      <c r="F47" s="1">
        <v>263</v>
      </c>
      <c r="G47" t="s">
        <v>48</v>
      </c>
      <c r="H47" s="3">
        <v>1145</v>
      </c>
      <c r="I47" t="s">
        <v>102</v>
      </c>
      <c r="J47" s="3">
        <v>1145</v>
      </c>
      <c r="K47" t="s">
        <v>164</v>
      </c>
      <c r="L47" s="6">
        <v>43830.66033564815</v>
      </c>
      <c r="M47" s="8">
        <f>IFERROR(Tabla_kronos_MCSIG_PEI[[#This Row],[SIA_CANTIDAD]]/Tabla_kronos_MCSIG_PEI[[#This Row],[SIP_CANTIDAD]],"Meta sin Valor")</f>
        <v>1</v>
      </c>
      <c r="N47" s="1" t="str">
        <f>IFERROR(IF(VLOOKUP(Tabla_kronos_MCSIG_PEI[[#This Row],[SIN_ID]],#REF!,1,0)&gt;0,"X","-"),"-")</f>
        <v>-</v>
      </c>
      <c r="O47"/>
    </row>
    <row r="48" spans="1:15" x14ac:dyDescent="0.25">
      <c r="A48" t="s">
        <v>6</v>
      </c>
      <c r="B48" s="1">
        <v>6</v>
      </c>
      <c r="C48" t="s">
        <v>43</v>
      </c>
      <c r="D48" s="1">
        <v>62</v>
      </c>
      <c r="E48" t="s">
        <v>47</v>
      </c>
      <c r="F48" s="1">
        <v>264</v>
      </c>
      <c r="G48" t="s">
        <v>146</v>
      </c>
      <c r="H48" s="3">
        <v>2</v>
      </c>
      <c r="I48" t="s">
        <v>102</v>
      </c>
      <c r="J48" s="3">
        <v>2</v>
      </c>
      <c r="K48" t="s">
        <v>215</v>
      </c>
      <c r="L48" s="6">
        <v>43830.428194444445</v>
      </c>
      <c r="M48" s="8">
        <f>IFERROR(Tabla_kronos_MCSIG_PEI[[#This Row],[SIA_CANTIDAD]]/Tabla_kronos_MCSIG_PEI[[#This Row],[SIP_CANTIDAD]],"Meta sin Valor")</f>
        <v>1</v>
      </c>
      <c r="N48" s="1" t="str">
        <f>IFERROR(IF(VLOOKUP(Tabla_kronos_MCSIG_PEI[[#This Row],[SIN_ID]],#REF!,1,0)&gt;0,"X","-"),"-")</f>
        <v>-</v>
      </c>
      <c r="O48"/>
    </row>
    <row r="49" spans="1:15" x14ac:dyDescent="0.25">
      <c r="A49" t="s">
        <v>142</v>
      </c>
      <c r="B49" s="1">
        <v>6</v>
      </c>
      <c r="C49" t="s">
        <v>43</v>
      </c>
      <c r="D49" s="1">
        <v>64</v>
      </c>
      <c r="E49" t="s">
        <v>92</v>
      </c>
      <c r="F49" s="1">
        <v>267</v>
      </c>
      <c r="G49" t="s">
        <v>49</v>
      </c>
      <c r="H49" s="3">
        <v>12</v>
      </c>
      <c r="I49" t="s">
        <v>102</v>
      </c>
      <c r="J49" s="3">
        <v>12</v>
      </c>
      <c r="K49" t="s">
        <v>228</v>
      </c>
      <c r="L49" s="6">
        <v>43654.490081018521</v>
      </c>
      <c r="M49" s="8">
        <f>IFERROR(Tabla_kronos_MCSIG_PEI[[#This Row],[SIA_CANTIDAD]]/Tabla_kronos_MCSIG_PEI[[#This Row],[SIP_CANTIDAD]],"Meta sin Valor")</f>
        <v>1</v>
      </c>
      <c r="N49" s="1" t="str">
        <f>IFERROR(IF(VLOOKUP(Tabla_kronos_MCSIG_PEI[[#This Row],[SIN_ID]],#REF!,1,0)&gt;0,"X","-"),"-")</f>
        <v>-</v>
      </c>
      <c r="O49"/>
    </row>
    <row r="50" spans="1:15" x14ac:dyDescent="0.25">
      <c r="A50" t="s">
        <v>12</v>
      </c>
      <c r="B50" s="1">
        <v>6</v>
      </c>
      <c r="C50" t="s">
        <v>43</v>
      </c>
      <c r="D50" s="1">
        <v>67</v>
      </c>
      <c r="E50" t="s">
        <v>96</v>
      </c>
      <c r="F50" s="1">
        <v>297</v>
      </c>
      <c r="G50" t="s">
        <v>56</v>
      </c>
      <c r="H50" s="3">
        <v>100</v>
      </c>
      <c r="I50" t="s">
        <v>102</v>
      </c>
      <c r="J50" s="3">
        <v>100</v>
      </c>
      <c r="K50" t="s">
        <v>233</v>
      </c>
      <c r="L50" s="6">
        <v>43830.727430555555</v>
      </c>
      <c r="M50" s="8">
        <f>IFERROR(Tabla_kronos_MCSIG_PEI[[#This Row],[SIA_CANTIDAD]]/Tabla_kronos_MCSIG_PEI[[#This Row],[SIP_CANTIDAD]],"Meta sin Valor")</f>
        <v>1</v>
      </c>
      <c r="N50" s="1" t="str">
        <f>IFERROR(IF(VLOOKUP(Tabla_kronos_MCSIG_PEI[[#This Row],[SIN_ID]],#REF!,1,0)&gt;0,"X","-"),"-")</f>
        <v>-</v>
      </c>
      <c r="O50"/>
    </row>
    <row r="51" spans="1:15" x14ac:dyDescent="0.25">
      <c r="A51" t="s">
        <v>6</v>
      </c>
      <c r="B51" s="1">
        <v>6</v>
      </c>
      <c r="C51" t="s">
        <v>43</v>
      </c>
      <c r="D51" s="1">
        <v>67</v>
      </c>
      <c r="E51" t="s">
        <v>96</v>
      </c>
      <c r="F51" s="1">
        <v>310</v>
      </c>
      <c r="G51" t="s">
        <v>57</v>
      </c>
      <c r="H51" s="3">
        <v>800000</v>
      </c>
      <c r="I51" t="s">
        <v>102</v>
      </c>
      <c r="J51" s="3">
        <v>800000</v>
      </c>
      <c r="K51" t="s">
        <v>165</v>
      </c>
      <c r="L51" s="6">
        <v>43830.429386574076</v>
      </c>
      <c r="M51" s="8">
        <f>IFERROR(Tabla_kronos_MCSIG_PEI[[#This Row],[SIA_CANTIDAD]]/Tabla_kronos_MCSIG_PEI[[#This Row],[SIP_CANTIDAD]],"Meta sin Valor")</f>
        <v>1</v>
      </c>
      <c r="N51" s="1" t="str">
        <f>IFERROR(IF(VLOOKUP(Tabla_kronos_MCSIG_PEI[[#This Row],[SIN_ID]],#REF!,1,0)&gt;0,"X","-"),"-")</f>
        <v>-</v>
      </c>
      <c r="O51"/>
    </row>
    <row r="52" spans="1:15" x14ac:dyDescent="0.25">
      <c r="A52" t="s">
        <v>5</v>
      </c>
      <c r="B52" s="1">
        <v>6</v>
      </c>
      <c r="C52" t="s">
        <v>43</v>
      </c>
      <c r="D52" s="1">
        <v>61</v>
      </c>
      <c r="E52" t="s">
        <v>44</v>
      </c>
      <c r="F52" s="1">
        <v>260</v>
      </c>
      <c r="G52" t="s">
        <v>45</v>
      </c>
      <c r="H52" s="3">
        <v>11</v>
      </c>
      <c r="I52" t="s">
        <v>102</v>
      </c>
      <c r="J52" s="3">
        <v>11</v>
      </c>
      <c r="K52" t="s">
        <v>166</v>
      </c>
      <c r="L52" s="6">
        <v>43830.654224537036</v>
      </c>
      <c r="M52" s="8">
        <f>IFERROR(Tabla_kronos_MCSIG_PEI[[#This Row],[SIA_CANTIDAD]]/Tabla_kronos_MCSIG_PEI[[#This Row],[SIP_CANTIDAD]],"Meta sin Valor")</f>
        <v>1</v>
      </c>
      <c r="N52" s="1" t="str">
        <f>IFERROR(IF(VLOOKUP(Tabla_kronos_MCSIG_PEI[[#This Row],[SIN_ID]],#REF!,1,0)&gt;0,"X","-"),"-")</f>
        <v>-</v>
      </c>
      <c r="O52"/>
    </row>
    <row r="53" spans="1:15" x14ac:dyDescent="0.25">
      <c r="A53" t="s">
        <v>5</v>
      </c>
      <c r="B53" s="1">
        <v>6</v>
      </c>
      <c r="C53" t="s">
        <v>43</v>
      </c>
      <c r="D53" s="1">
        <v>61</v>
      </c>
      <c r="E53" t="s">
        <v>44</v>
      </c>
      <c r="F53" s="1">
        <v>261</v>
      </c>
      <c r="G53" t="s">
        <v>46</v>
      </c>
      <c r="H53" s="3">
        <v>21</v>
      </c>
      <c r="I53" t="s">
        <v>102</v>
      </c>
      <c r="J53" s="3">
        <v>21</v>
      </c>
      <c r="K53" t="s">
        <v>177</v>
      </c>
      <c r="L53" s="6">
        <v>43830.655578703707</v>
      </c>
      <c r="M53" s="8">
        <f>IFERROR(Tabla_kronos_MCSIG_PEI[[#This Row],[SIA_CANTIDAD]]/Tabla_kronos_MCSIG_PEI[[#This Row],[SIP_CANTIDAD]],"Meta sin Valor")</f>
        <v>1</v>
      </c>
      <c r="N53" s="1" t="str">
        <f>IFERROR(IF(VLOOKUP(Tabla_kronos_MCSIG_PEI[[#This Row],[SIN_ID]],#REF!,1,0)&gt;0,"X","-"),"-")</f>
        <v>-</v>
      </c>
      <c r="O53"/>
    </row>
    <row r="54" spans="1:15" x14ac:dyDescent="0.25">
      <c r="A54" t="s">
        <v>5</v>
      </c>
      <c r="B54" s="1">
        <v>6</v>
      </c>
      <c r="C54" t="s">
        <v>43</v>
      </c>
      <c r="D54" s="1">
        <v>63</v>
      </c>
      <c r="E54" t="s">
        <v>91</v>
      </c>
      <c r="F54" s="1">
        <v>265</v>
      </c>
      <c r="G54" t="s">
        <v>147</v>
      </c>
      <c r="H54" s="3">
        <v>55</v>
      </c>
      <c r="I54" t="s">
        <v>102</v>
      </c>
      <c r="J54" s="3">
        <v>55</v>
      </c>
      <c r="K54" t="s">
        <v>178</v>
      </c>
      <c r="L54" s="6">
        <v>43830.663460648146</v>
      </c>
      <c r="M54" s="8">
        <f>IFERROR(Tabla_kronos_MCSIG_PEI[[#This Row],[SIA_CANTIDAD]]/Tabla_kronos_MCSIG_PEI[[#This Row],[SIP_CANTIDAD]],"Meta sin Valor")</f>
        <v>1</v>
      </c>
      <c r="N54" s="1" t="str">
        <f>IFERROR(IF(VLOOKUP(Tabla_kronos_MCSIG_PEI[[#This Row],[SIN_ID]],#REF!,1,0)&gt;0,"X","-"),"-")</f>
        <v>-</v>
      </c>
      <c r="O54"/>
    </row>
    <row r="55" spans="1:15" x14ac:dyDescent="0.25">
      <c r="A55" t="s">
        <v>5</v>
      </c>
      <c r="B55" s="1">
        <v>6</v>
      </c>
      <c r="C55" t="s">
        <v>43</v>
      </c>
      <c r="D55" s="1">
        <v>63</v>
      </c>
      <c r="E55" t="s">
        <v>91</v>
      </c>
      <c r="F55" s="1">
        <v>266</v>
      </c>
      <c r="G55" t="s">
        <v>190</v>
      </c>
      <c r="H55" s="3">
        <v>67</v>
      </c>
      <c r="I55" t="s">
        <v>102</v>
      </c>
      <c r="J55" s="3">
        <v>67</v>
      </c>
      <c r="K55" t="s">
        <v>179</v>
      </c>
      <c r="L55" s="6">
        <v>43830.66474537037</v>
      </c>
      <c r="M55" s="8">
        <f>IFERROR(Tabla_kronos_MCSIG_PEI[[#This Row],[SIA_CANTIDAD]]/Tabla_kronos_MCSIG_PEI[[#This Row],[SIP_CANTIDAD]],"Meta sin Valor")</f>
        <v>1</v>
      </c>
      <c r="N55" s="1" t="str">
        <f>IFERROR(IF(VLOOKUP(Tabla_kronos_MCSIG_PEI[[#This Row],[SIN_ID]],#REF!,1,0)&gt;0,"X","-"),"-")</f>
        <v>-</v>
      </c>
      <c r="O55"/>
    </row>
    <row r="56" spans="1:15" x14ac:dyDescent="0.25">
      <c r="A56" t="s">
        <v>133</v>
      </c>
      <c r="B56" s="1">
        <v>7</v>
      </c>
      <c r="C56" t="s">
        <v>50</v>
      </c>
      <c r="D56" s="1">
        <v>68</v>
      </c>
      <c r="E56" t="s">
        <v>180</v>
      </c>
      <c r="F56" s="1">
        <v>275</v>
      </c>
      <c r="G56" t="s">
        <v>97</v>
      </c>
      <c r="H56" s="3">
        <v>150</v>
      </c>
      <c r="I56" t="s">
        <v>102</v>
      </c>
      <c r="J56" s="3">
        <v>150</v>
      </c>
      <c r="K56" t="s">
        <v>187</v>
      </c>
      <c r="L56" s="6">
        <v>43830.46702546296</v>
      </c>
      <c r="M56" s="8">
        <f>IFERROR(Tabla_kronos_MCSIG_PEI[[#This Row],[SIA_CANTIDAD]]/Tabla_kronos_MCSIG_PEI[[#This Row],[SIP_CANTIDAD]],"Meta sin Valor")</f>
        <v>1</v>
      </c>
      <c r="N56" s="1" t="str">
        <f>IFERROR(IF(VLOOKUP(Tabla_kronos_MCSIG_PEI[[#This Row],[SIN_ID]],#REF!,1,0)&gt;0,"X","-"),"-")</f>
        <v>-</v>
      </c>
      <c r="O56"/>
    </row>
    <row r="57" spans="1:15" x14ac:dyDescent="0.25">
      <c r="A57" t="s">
        <v>142</v>
      </c>
      <c r="B57" s="1">
        <v>7</v>
      </c>
      <c r="C57" t="s">
        <v>50</v>
      </c>
      <c r="D57" s="1">
        <v>68</v>
      </c>
      <c r="E57" t="s">
        <v>180</v>
      </c>
      <c r="F57" s="1">
        <v>276</v>
      </c>
      <c r="G57" t="s">
        <v>191</v>
      </c>
      <c r="H57" s="3">
        <v>8</v>
      </c>
      <c r="I57" t="s">
        <v>102</v>
      </c>
      <c r="J57" s="3">
        <v>8</v>
      </c>
      <c r="K57" t="s">
        <v>229</v>
      </c>
      <c r="L57" s="6">
        <v>43654.491875</v>
      </c>
      <c r="M57" s="8">
        <f>IFERROR(Tabla_kronos_MCSIG_PEI[[#This Row],[SIA_CANTIDAD]]/Tabla_kronos_MCSIG_PEI[[#This Row],[SIP_CANTIDAD]],"Meta sin Valor")</f>
        <v>1</v>
      </c>
      <c r="N57" s="1" t="str">
        <f>IFERROR(IF(VLOOKUP(Tabla_kronos_MCSIG_PEI[[#This Row],[SIN_ID]],#REF!,1,0)&gt;0,"X","-"),"-")</f>
        <v>-</v>
      </c>
      <c r="O57"/>
    </row>
    <row r="58" spans="1:15" x14ac:dyDescent="0.25">
      <c r="A58" t="s">
        <v>148</v>
      </c>
      <c r="B58" s="1">
        <v>7</v>
      </c>
      <c r="C58" t="s">
        <v>50</v>
      </c>
      <c r="D58" s="1">
        <v>65</v>
      </c>
      <c r="E58" t="s">
        <v>93</v>
      </c>
      <c r="F58" s="1">
        <v>268</v>
      </c>
      <c r="G58" t="s">
        <v>51</v>
      </c>
      <c r="H58" s="3">
        <v>4350</v>
      </c>
      <c r="I58" t="s">
        <v>102</v>
      </c>
      <c r="J58" s="3">
        <v>4350</v>
      </c>
      <c r="K58" t="s">
        <v>204</v>
      </c>
      <c r="L58" s="6">
        <v>43830.618379629632</v>
      </c>
      <c r="M58" s="8">
        <f>IFERROR(Tabla_kronos_MCSIG_PEI[[#This Row],[SIA_CANTIDAD]]/Tabla_kronos_MCSIG_PEI[[#This Row],[SIP_CANTIDAD]],"Meta sin Valor")</f>
        <v>1</v>
      </c>
      <c r="N58" s="1" t="str">
        <f>IFERROR(IF(VLOOKUP(Tabla_kronos_MCSIG_PEI[[#This Row],[SIN_ID]],#REF!,1,0)&gt;0,"X","-"),"-")</f>
        <v>-</v>
      </c>
      <c r="O58"/>
    </row>
    <row r="59" spans="1:15" x14ac:dyDescent="0.25">
      <c r="A59" t="s">
        <v>148</v>
      </c>
      <c r="B59" s="1">
        <v>7</v>
      </c>
      <c r="C59" t="s">
        <v>50</v>
      </c>
      <c r="D59" s="1">
        <v>65</v>
      </c>
      <c r="E59" t="s">
        <v>93</v>
      </c>
      <c r="F59" s="1">
        <v>269</v>
      </c>
      <c r="G59" t="s">
        <v>94</v>
      </c>
      <c r="H59" s="3">
        <v>20</v>
      </c>
      <c r="I59" t="s">
        <v>102</v>
      </c>
      <c r="J59" s="3">
        <v>20</v>
      </c>
      <c r="K59" t="s">
        <v>161</v>
      </c>
      <c r="L59" s="6">
        <v>43830.628125000003</v>
      </c>
      <c r="M59" s="8">
        <f>IFERROR(Tabla_kronos_MCSIG_PEI[[#This Row],[SIA_CANTIDAD]]/Tabla_kronos_MCSIG_PEI[[#This Row],[SIP_CANTIDAD]],"Meta sin Valor")</f>
        <v>1</v>
      </c>
      <c r="N59" s="1" t="str">
        <f>IFERROR(IF(VLOOKUP(Tabla_kronos_MCSIG_PEI[[#This Row],[SIN_ID]],#REF!,1,0)&gt;0,"X","-"),"-")</f>
        <v>-</v>
      </c>
      <c r="O59"/>
    </row>
    <row r="60" spans="1:15" x14ac:dyDescent="0.25">
      <c r="A60" t="s">
        <v>149</v>
      </c>
      <c r="B60" s="1">
        <v>7</v>
      </c>
      <c r="C60" t="s">
        <v>50</v>
      </c>
      <c r="D60" s="1">
        <v>65</v>
      </c>
      <c r="E60" t="s">
        <v>93</v>
      </c>
      <c r="F60" s="1">
        <v>270</v>
      </c>
      <c r="G60" t="s">
        <v>52</v>
      </c>
      <c r="H60" s="3">
        <v>1945</v>
      </c>
      <c r="I60" t="s">
        <v>102</v>
      </c>
      <c r="J60" s="3">
        <v>1801</v>
      </c>
      <c r="K60" t="s">
        <v>222</v>
      </c>
      <c r="L60" s="6">
        <v>43830.490312499998</v>
      </c>
      <c r="M60" s="8">
        <f>IFERROR(Tabla_kronos_MCSIG_PEI[[#This Row],[SIA_CANTIDAD]]/Tabla_kronos_MCSIG_PEI[[#This Row],[SIP_CANTIDAD]],"Meta sin Valor")</f>
        <v>0.92596401028277631</v>
      </c>
      <c r="N60" s="1" t="str">
        <f>IFERROR(IF(VLOOKUP(Tabla_kronos_MCSIG_PEI[[#This Row],[SIN_ID]],#REF!,1,0)&gt;0,"X","-"),"-")</f>
        <v>-</v>
      </c>
      <c r="O60"/>
    </row>
    <row r="61" spans="1:15" x14ac:dyDescent="0.25">
      <c r="A61" t="s">
        <v>149</v>
      </c>
      <c r="B61" s="1">
        <v>7</v>
      </c>
      <c r="C61" t="s">
        <v>50</v>
      </c>
      <c r="D61" s="1">
        <v>65</v>
      </c>
      <c r="E61" t="s">
        <v>93</v>
      </c>
      <c r="F61" s="1">
        <v>271</v>
      </c>
      <c r="G61" t="s">
        <v>95</v>
      </c>
      <c r="H61" s="3">
        <v>100</v>
      </c>
      <c r="I61" t="s">
        <v>102</v>
      </c>
      <c r="J61" s="3">
        <v>102</v>
      </c>
      <c r="K61" t="s">
        <v>223</v>
      </c>
      <c r="L61" s="6">
        <v>43830.491111111114</v>
      </c>
      <c r="M61" s="8">
        <f>IFERROR(Tabla_kronos_MCSIG_PEI[[#This Row],[SIA_CANTIDAD]]/Tabla_kronos_MCSIG_PEI[[#This Row],[SIP_CANTIDAD]],"Meta sin Valor")</f>
        <v>1.02</v>
      </c>
      <c r="N61" s="1" t="str">
        <f>IFERROR(IF(VLOOKUP(Tabla_kronos_MCSIG_PEI[[#This Row],[SIN_ID]],#REF!,1,0)&gt;0,"X","-"),"-")</f>
        <v>-</v>
      </c>
      <c r="O61"/>
    </row>
    <row r="62" spans="1:15" x14ac:dyDescent="0.25">
      <c r="A62" t="s">
        <v>5</v>
      </c>
      <c r="B62" s="1">
        <v>7</v>
      </c>
      <c r="C62" t="s">
        <v>50</v>
      </c>
      <c r="D62" s="1">
        <v>66</v>
      </c>
      <c r="E62" t="s">
        <v>53</v>
      </c>
      <c r="F62" s="1">
        <v>272</v>
      </c>
      <c r="G62" t="s">
        <v>54</v>
      </c>
      <c r="H62" s="3">
        <v>1</v>
      </c>
      <c r="I62" t="s">
        <v>102</v>
      </c>
      <c r="J62" s="3">
        <v>1</v>
      </c>
      <c r="K62" t="s">
        <v>167</v>
      </c>
      <c r="L62" s="6">
        <v>43830.667233796295</v>
      </c>
      <c r="M62" s="8">
        <f>IFERROR(Tabla_kronos_MCSIG_PEI[[#This Row],[SIA_CANTIDAD]]/Tabla_kronos_MCSIG_PEI[[#This Row],[SIP_CANTIDAD]],"Meta sin Valor")</f>
        <v>1</v>
      </c>
      <c r="N62" s="1" t="str">
        <f>IFERROR(IF(VLOOKUP(Tabla_kronos_MCSIG_PEI[[#This Row],[SIN_ID]],#REF!,1,0)&gt;0,"X","-"),"-")</f>
        <v>-</v>
      </c>
      <c r="O62"/>
    </row>
    <row r="63" spans="1:15" x14ac:dyDescent="0.25">
      <c r="A63" t="s">
        <v>5</v>
      </c>
      <c r="B63" s="1">
        <v>7</v>
      </c>
      <c r="C63" t="s">
        <v>50</v>
      </c>
      <c r="D63" s="1">
        <v>66</v>
      </c>
      <c r="E63" t="s">
        <v>53</v>
      </c>
      <c r="F63" s="1">
        <v>273</v>
      </c>
      <c r="G63" t="s">
        <v>55</v>
      </c>
      <c r="H63" s="3">
        <v>1</v>
      </c>
      <c r="I63" t="s">
        <v>102</v>
      </c>
      <c r="J63" s="3">
        <v>1</v>
      </c>
      <c r="K63" t="s">
        <v>181</v>
      </c>
      <c r="L63" s="6">
        <v>43830.669444444444</v>
      </c>
      <c r="M63" s="8">
        <f>IFERROR(Tabla_kronos_MCSIG_PEI[[#This Row],[SIA_CANTIDAD]]/Tabla_kronos_MCSIG_PEI[[#This Row],[SIP_CANTIDAD]],"Meta sin Valor")</f>
        <v>1</v>
      </c>
      <c r="N63" s="1" t="str">
        <f>IFERROR(IF(VLOOKUP(Tabla_kronos_MCSIG_PEI[[#This Row],[SIN_ID]],#REF!,1,0)&gt;0,"X","-"),"-")</f>
        <v>-</v>
      </c>
      <c r="O63"/>
    </row>
    <row r="64" spans="1:15" x14ac:dyDescent="0.25">
      <c r="A64" t="s">
        <v>3</v>
      </c>
      <c r="B64" s="1">
        <v>7</v>
      </c>
      <c r="C64" t="s">
        <v>50</v>
      </c>
      <c r="D64" s="1">
        <v>66</v>
      </c>
      <c r="E64" t="s">
        <v>53</v>
      </c>
      <c r="F64" s="1">
        <v>274</v>
      </c>
      <c r="G64" t="s">
        <v>150</v>
      </c>
      <c r="H64" s="3">
        <v>60</v>
      </c>
      <c r="I64" t="s">
        <v>102</v>
      </c>
      <c r="J64" s="3">
        <v>60</v>
      </c>
      <c r="K64" t="s">
        <v>205</v>
      </c>
      <c r="L64" s="6">
        <v>43830.659201388888</v>
      </c>
      <c r="M64" s="8">
        <f>IFERROR(Tabla_kronos_MCSIG_PEI[[#This Row],[SIA_CANTIDAD]]/Tabla_kronos_MCSIG_PEI[[#This Row],[SIP_CANTIDAD]],"Meta sin Valor")</f>
        <v>1</v>
      </c>
      <c r="N64" s="1" t="str">
        <f>IFERROR(IF(VLOOKUP(Tabla_kronos_MCSIG_PEI[[#This Row],[SIN_ID]],#REF!,1,0)&gt;0,"X","-"),"-")</f>
        <v>-</v>
      </c>
      <c r="O64"/>
    </row>
    <row r="65" spans="1:15" x14ac:dyDescent="0.25">
      <c r="A65" t="s">
        <v>3</v>
      </c>
      <c r="B65" s="1">
        <v>7</v>
      </c>
      <c r="C65" t="s">
        <v>50</v>
      </c>
      <c r="D65" s="1">
        <v>66</v>
      </c>
      <c r="E65" t="s">
        <v>53</v>
      </c>
      <c r="F65" s="1">
        <v>306</v>
      </c>
      <c r="G65" t="s">
        <v>151</v>
      </c>
      <c r="H65" s="3">
        <v>50</v>
      </c>
      <c r="I65" t="s">
        <v>102</v>
      </c>
      <c r="J65" s="3">
        <v>373</v>
      </c>
      <c r="K65" t="s">
        <v>235</v>
      </c>
      <c r="L65" s="6">
        <v>43830.659317129626</v>
      </c>
      <c r="M65" s="8">
        <f>IFERROR(Tabla_kronos_MCSIG_PEI[[#This Row],[SIA_CANTIDAD]]/Tabla_kronos_MCSIG_PEI[[#This Row],[SIP_CANTIDAD]],"Meta sin Valor")</f>
        <v>7.46</v>
      </c>
      <c r="N65" s="1" t="str">
        <f>IFERROR(IF(VLOOKUP(Tabla_kronos_MCSIG_PEI[[#This Row],[SIN_ID]],#REF!,1,0)&gt;0,"X","-"),"-")</f>
        <v>-</v>
      </c>
      <c r="O65"/>
    </row>
    <row r="66" spans="1:15" x14ac:dyDescent="0.25">
      <c r="A66" t="s">
        <v>60</v>
      </c>
      <c r="B66" s="1">
        <v>8</v>
      </c>
      <c r="C66" t="s">
        <v>98</v>
      </c>
      <c r="D66" s="1">
        <v>71</v>
      </c>
      <c r="E66" t="s">
        <v>63</v>
      </c>
      <c r="F66" s="1">
        <v>281</v>
      </c>
      <c r="G66" t="s">
        <v>64</v>
      </c>
      <c r="H66" s="3">
        <v>60</v>
      </c>
      <c r="I66" t="s">
        <v>102</v>
      </c>
      <c r="J66" s="3">
        <v>60</v>
      </c>
      <c r="K66" t="s">
        <v>207</v>
      </c>
      <c r="L66" s="6">
        <v>43830.775300925925</v>
      </c>
      <c r="M66" s="8">
        <f>IFERROR(Tabla_kronos_MCSIG_PEI[[#This Row],[SIA_CANTIDAD]]/Tabla_kronos_MCSIG_PEI[[#This Row],[SIP_CANTIDAD]],"Meta sin Valor")</f>
        <v>1</v>
      </c>
      <c r="N66" s="1" t="str">
        <f>IFERROR(IF(VLOOKUP(Tabla_kronos_MCSIG_PEI[[#This Row],[SIN_ID]],#REF!,1,0)&gt;0,"X","-"),"-")</f>
        <v>-</v>
      </c>
      <c r="O66"/>
    </row>
    <row r="67" spans="1:15" x14ac:dyDescent="0.25">
      <c r="A67" t="s">
        <v>60</v>
      </c>
      <c r="B67" s="1">
        <v>8</v>
      </c>
      <c r="C67" t="s">
        <v>98</v>
      </c>
      <c r="D67" s="1">
        <v>70</v>
      </c>
      <c r="E67" t="s">
        <v>62</v>
      </c>
      <c r="F67" s="1">
        <v>283</v>
      </c>
      <c r="G67" t="s">
        <v>152</v>
      </c>
      <c r="H67" s="3">
        <v>43</v>
      </c>
      <c r="I67" t="s">
        <v>102</v>
      </c>
      <c r="J67" s="3">
        <v>43</v>
      </c>
      <c r="K67" t="s">
        <v>208</v>
      </c>
      <c r="L67" s="6">
        <v>43830.77652777778</v>
      </c>
      <c r="M67" s="8">
        <f>IFERROR(Tabla_kronos_MCSIG_PEI[[#This Row],[SIA_CANTIDAD]]/Tabla_kronos_MCSIG_PEI[[#This Row],[SIP_CANTIDAD]],"Meta sin Valor")</f>
        <v>1</v>
      </c>
      <c r="N67" s="1" t="str">
        <f>IFERROR(IF(VLOOKUP(Tabla_kronos_MCSIG_PEI[[#This Row],[SIN_ID]],#REF!,1,0)&gt;0,"X","-"),"-")</f>
        <v>-</v>
      </c>
      <c r="O67"/>
    </row>
    <row r="68" spans="1:15" x14ac:dyDescent="0.25">
      <c r="A68" t="s">
        <v>66</v>
      </c>
      <c r="B68" s="1">
        <v>8</v>
      </c>
      <c r="C68" t="s">
        <v>98</v>
      </c>
      <c r="D68" s="1">
        <v>72</v>
      </c>
      <c r="E68" t="s">
        <v>65</v>
      </c>
      <c r="F68" s="1">
        <v>282</v>
      </c>
      <c r="G68" t="s">
        <v>67</v>
      </c>
      <c r="H68" s="3">
        <v>100</v>
      </c>
      <c r="I68" t="s">
        <v>102</v>
      </c>
      <c r="J68" s="3">
        <v>99</v>
      </c>
      <c r="K68" t="s">
        <v>206</v>
      </c>
      <c r="L68" s="6">
        <v>43760.640231481484</v>
      </c>
      <c r="M68" s="8">
        <f>IFERROR(Tabla_kronos_MCSIG_PEI[[#This Row],[SIA_CANTIDAD]]/Tabla_kronos_MCSIG_PEI[[#This Row],[SIP_CANTIDAD]],"Meta sin Valor")</f>
        <v>0.99</v>
      </c>
      <c r="N68" s="1" t="str">
        <f>IFERROR(IF(VLOOKUP(Tabla_kronos_MCSIG_PEI[[#This Row],[SIN_ID]],#REF!,1,0)&gt;0,"X","-"),"-")</f>
        <v>-</v>
      </c>
      <c r="O68"/>
    </row>
    <row r="69" spans="1:15" x14ac:dyDescent="0.25">
      <c r="A69" t="s">
        <v>153</v>
      </c>
      <c r="B69" s="1">
        <v>8</v>
      </c>
      <c r="C69" t="s">
        <v>98</v>
      </c>
      <c r="D69" s="1">
        <v>75</v>
      </c>
      <c r="E69" t="s">
        <v>100</v>
      </c>
      <c r="F69" s="1">
        <v>286</v>
      </c>
      <c r="G69" t="s">
        <v>71</v>
      </c>
      <c r="H69" s="3">
        <v>91</v>
      </c>
      <c r="I69" t="s">
        <v>103</v>
      </c>
      <c r="J69" s="3">
        <v>91</v>
      </c>
      <c r="K69" t="s">
        <v>101</v>
      </c>
      <c r="L69" s="6">
        <v>43774.696238425924</v>
      </c>
      <c r="M69" s="8">
        <f>IFERROR(Tabla_kronos_MCSIG_PEI[[#This Row],[SIA_CANTIDAD]]/Tabla_kronos_MCSIG_PEI[[#This Row],[SIP_CANTIDAD]],"Meta sin Valor")</f>
        <v>1</v>
      </c>
      <c r="N69" s="1" t="str">
        <f>IFERROR(IF(VLOOKUP(Tabla_kronos_MCSIG_PEI[[#This Row],[SIN_ID]],#REF!,1,0)&gt;0,"X","-"),"-")</f>
        <v>-</v>
      </c>
      <c r="O69"/>
    </row>
    <row r="70" spans="1:15" x14ac:dyDescent="0.25">
      <c r="A70" t="s">
        <v>1</v>
      </c>
      <c r="B70" s="1">
        <v>8</v>
      </c>
      <c r="C70" t="s">
        <v>98</v>
      </c>
      <c r="D70" s="1">
        <v>77</v>
      </c>
      <c r="E70" t="s">
        <v>74</v>
      </c>
      <c r="F70" s="1">
        <v>288</v>
      </c>
      <c r="G70" t="s">
        <v>75</v>
      </c>
      <c r="H70" s="3">
        <v>78</v>
      </c>
      <c r="I70" t="s">
        <v>103</v>
      </c>
      <c r="J70" s="3">
        <v>89.66</v>
      </c>
      <c r="K70" t="s">
        <v>211</v>
      </c>
      <c r="L70" s="6">
        <v>43830.450567129628</v>
      </c>
      <c r="M70" s="8">
        <f>IFERROR(Tabla_kronos_MCSIG_PEI[[#This Row],[SIA_CANTIDAD]]/Tabla_kronos_MCSIG_PEI[[#This Row],[SIP_CANTIDAD]],"Meta sin Valor")</f>
        <v>1.1494871794871795</v>
      </c>
      <c r="N70" s="1" t="str">
        <f>IFERROR(IF(VLOOKUP(Tabla_kronos_MCSIG_PEI[[#This Row],[SIN_ID]],#REF!,1,0)&gt;0,"X","-"),"-")</f>
        <v>-</v>
      </c>
      <c r="O70"/>
    </row>
    <row r="71" spans="1:15" x14ac:dyDescent="0.25">
      <c r="A71" t="s">
        <v>154</v>
      </c>
      <c r="B71" s="1">
        <v>8</v>
      </c>
      <c r="C71" t="s">
        <v>98</v>
      </c>
      <c r="D71" s="1">
        <v>76</v>
      </c>
      <c r="E71" t="s">
        <v>72</v>
      </c>
      <c r="F71" s="1">
        <v>287</v>
      </c>
      <c r="G71" t="s">
        <v>73</v>
      </c>
      <c r="H71" s="3">
        <v>2</v>
      </c>
      <c r="I71" t="s">
        <v>102</v>
      </c>
      <c r="J71" s="3">
        <v>2</v>
      </c>
      <c r="K71" t="s">
        <v>218</v>
      </c>
      <c r="L71" s="6">
        <v>43830.460613425923</v>
      </c>
      <c r="M71" s="8">
        <f>IFERROR(Tabla_kronos_MCSIG_PEI[[#This Row],[SIA_CANTIDAD]]/Tabla_kronos_MCSIG_PEI[[#This Row],[SIP_CANTIDAD]],"Meta sin Valor")</f>
        <v>1</v>
      </c>
      <c r="N71" s="1" t="str">
        <f>IFERROR(IF(VLOOKUP(Tabla_kronos_MCSIG_PEI[[#This Row],[SIN_ID]],#REF!,1,0)&gt;0,"X","-"),"-")</f>
        <v>-</v>
      </c>
      <c r="O71"/>
    </row>
    <row r="72" spans="1:15" x14ac:dyDescent="0.25">
      <c r="A72" t="s">
        <v>60</v>
      </c>
      <c r="B72" s="1">
        <v>8</v>
      </c>
      <c r="C72" t="s">
        <v>98</v>
      </c>
      <c r="D72" s="1">
        <v>73</v>
      </c>
      <c r="E72" t="s">
        <v>68</v>
      </c>
      <c r="F72" s="1">
        <v>280</v>
      </c>
      <c r="G72" t="s">
        <v>192</v>
      </c>
      <c r="H72" s="3">
        <v>100</v>
      </c>
      <c r="I72" t="s">
        <v>102</v>
      </c>
      <c r="J72" s="3">
        <v>100</v>
      </c>
      <c r="K72" t="s">
        <v>209</v>
      </c>
      <c r="L72" s="6">
        <v>43830.772407407407</v>
      </c>
      <c r="M72" s="8">
        <f>IFERROR(Tabla_kronos_MCSIG_PEI[[#This Row],[SIA_CANTIDAD]]/Tabla_kronos_MCSIG_PEI[[#This Row],[SIP_CANTIDAD]],"Meta sin Valor")</f>
        <v>1</v>
      </c>
      <c r="N72" s="1" t="str">
        <f>IFERROR(IF(VLOOKUP(Tabla_kronos_MCSIG_PEI[[#This Row],[SIN_ID]],#REF!,1,0)&gt;0,"X","-"),"-")</f>
        <v>-</v>
      </c>
      <c r="O72"/>
    </row>
    <row r="73" spans="1:15" x14ac:dyDescent="0.25">
      <c r="A73" t="s">
        <v>155</v>
      </c>
      <c r="B73" s="1">
        <v>8</v>
      </c>
      <c r="C73" t="s">
        <v>98</v>
      </c>
      <c r="D73" s="1">
        <v>74</v>
      </c>
      <c r="E73" t="s">
        <v>69</v>
      </c>
      <c r="F73" s="1">
        <v>284</v>
      </c>
      <c r="G73" t="s">
        <v>156</v>
      </c>
      <c r="H73" s="3">
        <v>90</v>
      </c>
      <c r="I73" t="s">
        <v>103</v>
      </c>
      <c r="J73" s="3">
        <v>94</v>
      </c>
      <c r="K73" t="s">
        <v>216</v>
      </c>
      <c r="L73" s="6">
        <v>43830.694062499999</v>
      </c>
      <c r="M73" s="8">
        <f>IFERROR(Tabla_kronos_MCSIG_PEI[[#This Row],[SIA_CANTIDAD]]/Tabla_kronos_MCSIG_PEI[[#This Row],[SIP_CANTIDAD]],"Meta sin Valor")</f>
        <v>1.0444444444444445</v>
      </c>
      <c r="N73" s="1" t="str">
        <f>IFERROR(IF(VLOOKUP(Tabla_kronos_MCSIG_PEI[[#This Row],[SIN_ID]],#REF!,1,0)&gt;0,"X","-"),"-")</f>
        <v>-</v>
      </c>
      <c r="O73"/>
    </row>
    <row r="74" spans="1:15" x14ac:dyDescent="0.25">
      <c r="A74" t="s">
        <v>155</v>
      </c>
      <c r="B74" s="1">
        <v>8</v>
      </c>
      <c r="C74" t="s">
        <v>98</v>
      </c>
      <c r="D74" s="1">
        <v>74</v>
      </c>
      <c r="E74" t="s">
        <v>69</v>
      </c>
      <c r="F74" s="1">
        <v>285</v>
      </c>
      <c r="G74" t="s">
        <v>70</v>
      </c>
      <c r="H74" s="3">
        <v>80</v>
      </c>
      <c r="I74" t="s">
        <v>102</v>
      </c>
      <c r="J74" s="3">
        <v>94</v>
      </c>
      <c r="K74" t="s">
        <v>217</v>
      </c>
      <c r="L74" s="6">
        <v>43830.69672453704</v>
      </c>
      <c r="M74" s="8">
        <f>IFERROR(Tabla_kronos_MCSIG_PEI[[#This Row],[SIA_CANTIDAD]]/Tabla_kronos_MCSIG_PEI[[#This Row],[SIP_CANTIDAD]],"Meta sin Valor")</f>
        <v>1.175</v>
      </c>
      <c r="N74" s="1" t="str">
        <f>IFERROR(IF(VLOOKUP(Tabla_kronos_MCSIG_PEI[[#This Row],[SIN_ID]],#REF!,1,0)&gt;0,"X","-"),"-")</f>
        <v>-</v>
      </c>
      <c r="O74"/>
    </row>
    <row r="75" spans="1:15" x14ac:dyDescent="0.25">
      <c r="A75" t="s">
        <v>157</v>
      </c>
      <c r="B75" s="1">
        <v>8</v>
      </c>
      <c r="C75" t="s">
        <v>98</v>
      </c>
      <c r="D75" s="1">
        <v>69</v>
      </c>
      <c r="E75" t="s">
        <v>58</v>
      </c>
      <c r="F75" s="1">
        <v>277</v>
      </c>
      <c r="G75" t="s">
        <v>59</v>
      </c>
      <c r="H75" s="3">
        <v>90.8</v>
      </c>
      <c r="I75" t="s">
        <v>103</v>
      </c>
      <c r="J75" s="3">
        <v>96</v>
      </c>
      <c r="K75" t="s">
        <v>182</v>
      </c>
      <c r="L75" s="6">
        <v>43830.66846064815</v>
      </c>
      <c r="M75" s="8">
        <f>IFERROR(Tabla_kronos_MCSIG_PEI[[#This Row],[SIA_CANTIDAD]]/Tabla_kronos_MCSIG_PEI[[#This Row],[SIP_CANTIDAD]],"Meta sin Valor")</f>
        <v>1.0572687224669604</v>
      </c>
      <c r="N75" s="1" t="str">
        <f>IFERROR(IF(VLOOKUP(Tabla_kronos_MCSIG_PEI[[#This Row],[SIN_ID]],#REF!,1,0)&gt;0,"X","-"),"-")</f>
        <v>-</v>
      </c>
      <c r="O75"/>
    </row>
    <row r="76" spans="1:15" x14ac:dyDescent="0.25">
      <c r="A76" t="s">
        <v>60</v>
      </c>
      <c r="B76" s="1">
        <v>8</v>
      </c>
      <c r="C76" t="s">
        <v>98</v>
      </c>
      <c r="D76" s="1">
        <v>69</v>
      </c>
      <c r="E76" t="s">
        <v>58</v>
      </c>
      <c r="F76" s="1">
        <v>278</v>
      </c>
      <c r="G76" t="s">
        <v>193</v>
      </c>
      <c r="H76" s="3">
        <v>100</v>
      </c>
      <c r="I76" t="s">
        <v>102</v>
      </c>
      <c r="J76" s="3">
        <v>100</v>
      </c>
      <c r="K76" t="s">
        <v>183</v>
      </c>
      <c r="L76" s="6">
        <v>43830.503564814811</v>
      </c>
      <c r="M76" s="8">
        <f>IFERROR(Tabla_kronos_MCSIG_PEI[[#This Row],[SIA_CANTIDAD]]/Tabla_kronos_MCSIG_PEI[[#This Row],[SIP_CANTIDAD]],"Meta sin Valor")</f>
        <v>1</v>
      </c>
      <c r="N76" s="1" t="str">
        <f>IFERROR(IF(VLOOKUP(Tabla_kronos_MCSIG_PEI[[#This Row],[SIN_ID]],#REF!,1,0)&gt;0,"X","-"),"-")</f>
        <v>-</v>
      </c>
      <c r="O76"/>
    </row>
    <row r="77" spans="1:15" x14ac:dyDescent="0.25">
      <c r="A77" t="s">
        <v>99</v>
      </c>
      <c r="B77" s="1">
        <v>8</v>
      </c>
      <c r="C77" t="s">
        <v>98</v>
      </c>
      <c r="D77" s="1">
        <v>69</v>
      </c>
      <c r="E77" t="s">
        <v>58</v>
      </c>
      <c r="F77" s="1">
        <v>279</v>
      </c>
      <c r="G77" t="s">
        <v>61</v>
      </c>
      <c r="H77" s="3">
        <v>10</v>
      </c>
      <c r="I77" t="s">
        <v>103</v>
      </c>
      <c r="J77" s="3">
        <v>9</v>
      </c>
      <c r="K77" t="s">
        <v>158</v>
      </c>
      <c r="L77" s="6">
        <v>43768.632743055554</v>
      </c>
      <c r="M77" s="8">
        <f>IFERROR(Tabla_kronos_MCSIG_PEI[[#This Row],[SIA_CANTIDAD]]/Tabla_kronos_MCSIG_PEI[[#This Row],[SIP_CANTIDAD]],"Meta sin Valor")</f>
        <v>0.9</v>
      </c>
      <c r="N77" s="1" t="str">
        <f>IFERROR(IF(VLOOKUP(Tabla_kronos_MCSIG_PEI[[#This Row],[SIN_ID]],#REF!,1,0)&gt;0,"X","-"),"-")</f>
        <v>-</v>
      </c>
      <c r="O77"/>
    </row>
    <row r="78" spans="1:15" x14ac:dyDescent="0.25">
      <c r="B78" s="1"/>
      <c r="G78" s="1">
        <f>SUBTOTAL(103,Tabla_kronos_MCSIG_PEI[SIN_NOMBRE])</f>
        <v>76</v>
      </c>
      <c r="J78" s="1">
        <f>SUBTOTAL(103,Tabla_kronos_MCSIG_PEI[SIA_CANTIDAD])</f>
        <v>74</v>
      </c>
      <c r="M78" s="10"/>
      <c r="N78" s="1">
        <f>COUNTIF(Tabla_kronos_MCSIG_PEI[PND],"X")</f>
        <v>0</v>
      </c>
      <c r="O78"/>
    </row>
    <row r="79" spans="1:15" x14ac:dyDescent="0.25">
      <c r="O79"/>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98E24-E265-420F-80AA-53997413FD71}">
  <sheetPr>
    <tabColor rgb="FF002060"/>
  </sheetPr>
  <dimension ref="A1:G153"/>
  <sheetViews>
    <sheetView workbookViewId="0"/>
  </sheetViews>
  <sheetFormatPr baseColWidth="10" defaultRowHeight="15" x14ac:dyDescent="0.25"/>
  <cols>
    <col min="1" max="1" width="9.42578125" bestFit="1" customWidth="1"/>
    <col min="2" max="2" width="9.140625" bestFit="1" customWidth="1"/>
    <col min="3" max="3" width="9.140625" style="1" bestFit="1" customWidth="1"/>
    <col min="4" max="4" width="60.7109375" style="1" bestFit="1" customWidth="1"/>
    <col min="5" max="6" width="13.7109375" style="1" bestFit="1" customWidth="1"/>
    <col min="7" max="7" width="9.42578125" style="1" bestFit="1" customWidth="1"/>
    <col min="8" max="9" width="13.7109375" bestFit="1" customWidth="1"/>
    <col min="10" max="10" width="22.28515625" bestFit="1" customWidth="1"/>
    <col min="11" max="11" width="27.7109375" bestFit="1" customWidth="1"/>
  </cols>
  <sheetData>
    <row r="1" spans="1:7" x14ac:dyDescent="0.25">
      <c r="A1" s="2" t="s">
        <v>108</v>
      </c>
      <c r="B1" s="2" t="s">
        <v>110</v>
      </c>
      <c r="C1" s="2" t="s">
        <v>112</v>
      </c>
      <c r="D1" s="2" t="s">
        <v>107</v>
      </c>
      <c r="E1" s="1" t="s">
        <v>168</v>
      </c>
      <c r="F1" s="1" t="s">
        <v>169</v>
      </c>
      <c r="G1" s="1" t="s">
        <v>170</v>
      </c>
    </row>
    <row r="2" spans="1:7" x14ac:dyDescent="0.25">
      <c r="A2">
        <v>1</v>
      </c>
      <c r="B2">
        <v>31</v>
      </c>
      <c r="C2">
        <v>221</v>
      </c>
      <c r="D2" t="s">
        <v>1</v>
      </c>
      <c r="E2" s="3">
        <v>0</v>
      </c>
      <c r="F2" s="3">
        <v>0</v>
      </c>
      <c r="G2" s="11" t="e">
        <v>#DIV/0!</v>
      </c>
    </row>
    <row r="3" spans="1:7" x14ac:dyDescent="0.25">
      <c r="C3">
        <v>222</v>
      </c>
      <c r="D3" t="s">
        <v>1</v>
      </c>
      <c r="E3" s="3">
        <v>25</v>
      </c>
      <c r="F3" s="3">
        <v>25</v>
      </c>
      <c r="G3" s="11">
        <v>1</v>
      </c>
    </row>
    <row r="4" spans="1:7" x14ac:dyDescent="0.25">
      <c r="C4">
        <v>304</v>
      </c>
      <c r="D4" t="s">
        <v>3</v>
      </c>
      <c r="E4" s="3">
        <v>3</v>
      </c>
      <c r="F4" s="3">
        <v>3</v>
      </c>
      <c r="G4" s="11">
        <v>1</v>
      </c>
    </row>
    <row r="5" spans="1:7" x14ac:dyDescent="0.25">
      <c r="B5">
        <v>32</v>
      </c>
      <c r="C5">
        <v>223</v>
      </c>
      <c r="D5" t="s">
        <v>5</v>
      </c>
      <c r="E5" s="3">
        <v>0</v>
      </c>
      <c r="F5" s="3">
        <v>0</v>
      </c>
      <c r="G5" s="11" t="e">
        <v>#DIV/0!</v>
      </c>
    </row>
    <row r="6" spans="1:7" x14ac:dyDescent="0.25">
      <c r="C6">
        <v>224</v>
      </c>
      <c r="D6" t="s">
        <v>5</v>
      </c>
      <c r="E6" s="3">
        <v>0</v>
      </c>
      <c r="F6" s="3">
        <v>0</v>
      </c>
      <c r="G6" s="11" t="e">
        <v>#DIV/0!</v>
      </c>
    </row>
    <row r="7" spans="1:7" x14ac:dyDescent="0.25">
      <c r="C7">
        <v>225</v>
      </c>
      <c r="D7" t="s">
        <v>6</v>
      </c>
      <c r="E7" s="3">
        <v>0</v>
      </c>
      <c r="F7" s="3">
        <v>0</v>
      </c>
      <c r="G7" s="11" t="e">
        <v>#DIV/0!</v>
      </c>
    </row>
    <row r="8" spans="1:7" x14ac:dyDescent="0.25">
      <c r="C8">
        <v>226</v>
      </c>
      <c r="D8" t="s">
        <v>124</v>
      </c>
      <c r="E8" s="3">
        <v>25</v>
      </c>
      <c r="F8" s="3">
        <v>35</v>
      </c>
      <c r="G8" s="11">
        <v>1.4</v>
      </c>
    </row>
    <row r="9" spans="1:7" x14ac:dyDescent="0.25">
      <c r="C9">
        <v>227</v>
      </c>
      <c r="D9" t="s">
        <v>3</v>
      </c>
      <c r="E9" s="3">
        <v>1</v>
      </c>
      <c r="F9" s="3">
        <v>1</v>
      </c>
      <c r="G9" s="11">
        <v>1</v>
      </c>
    </row>
    <row r="10" spans="1:7" x14ac:dyDescent="0.25">
      <c r="B10">
        <v>33</v>
      </c>
      <c r="C10">
        <v>228</v>
      </c>
      <c r="D10" t="s">
        <v>3</v>
      </c>
      <c r="E10" s="3">
        <v>1</v>
      </c>
      <c r="F10" s="3">
        <v>4</v>
      </c>
      <c r="G10" s="11">
        <v>4</v>
      </c>
    </row>
    <row r="11" spans="1:7" x14ac:dyDescent="0.25">
      <c r="A11">
        <v>2</v>
      </c>
      <c r="B11">
        <v>47</v>
      </c>
      <c r="C11">
        <v>229</v>
      </c>
      <c r="D11" t="s">
        <v>10</v>
      </c>
      <c r="E11" s="3">
        <v>93</v>
      </c>
      <c r="F11" s="3">
        <v>93</v>
      </c>
      <c r="G11" s="11">
        <v>1</v>
      </c>
    </row>
    <row r="12" spans="1:7" x14ac:dyDescent="0.25">
      <c r="C12">
        <v>230</v>
      </c>
      <c r="D12" t="s">
        <v>10</v>
      </c>
      <c r="E12" s="3">
        <v>1047</v>
      </c>
      <c r="F12" s="3">
        <v>3102</v>
      </c>
      <c r="G12" s="11">
        <v>2.9627507163323781</v>
      </c>
    </row>
    <row r="13" spans="1:7" x14ac:dyDescent="0.25">
      <c r="C13">
        <v>231</v>
      </c>
      <c r="D13" t="s">
        <v>10</v>
      </c>
      <c r="E13" s="3">
        <v>0</v>
      </c>
      <c r="F13" s="3">
        <v>0</v>
      </c>
      <c r="G13" s="11" t="e">
        <v>#DIV/0!</v>
      </c>
    </row>
    <row r="14" spans="1:7" x14ac:dyDescent="0.25">
      <c r="B14">
        <v>48</v>
      </c>
      <c r="C14">
        <v>232</v>
      </c>
      <c r="D14" t="s">
        <v>12</v>
      </c>
      <c r="E14" s="3">
        <v>33</v>
      </c>
      <c r="F14" s="3">
        <v>0</v>
      </c>
      <c r="G14" s="11">
        <v>0</v>
      </c>
    </row>
    <row r="15" spans="1:7" x14ac:dyDescent="0.25">
      <c r="B15">
        <v>49</v>
      </c>
      <c r="C15">
        <v>233</v>
      </c>
      <c r="D15" t="s">
        <v>131</v>
      </c>
      <c r="E15" s="3">
        <v>16</v>
      </c>
      <c r="F15" s="3">
        <v>17</v>
      </c>
      <c r="G15" s="11">
        <v>1.0625</v>
      </c>
    </row>
    <row r="16" spans="1:7" x14ac:dyDescent="0.25">
      <c r="C16">
        <v>234</v>
      </c>
      <c r="D16" t="s">
        <v>131</v>
      </c>
      <c r="E16" s="3">
        <v>8</v>
      </c>
      <c r="F16" s="3">
        <v>10</v>
      </c>
      <c r="G16" s="11">
        <v>1.25</v>
      </c>
    </row>
    <row r="17" spans="1:7" x14ac:dyDescent="0.25">
      <c r="C17">
        <v>289</v>
      </c>
      <c r="D17" t="s">
        <v>12</v>
      </c>
      <c r="E17" s="3">
        <v>1</v>
      </c>
      <c r="F17" s="3">
        <v>0</v>
      </c>
      <c r="G17" s="11">
        <v>0</v>
      </c>
    </row>
    <row r="18" spans="1:7" x14ac:dyDescent="0.25">
      <c r="B18">
        <v>50</v>
      </c>
      <c r="C18">
        <v>235</v>
      </c>
      <c r="D18" t="s">
        <v>3</v>
      </c>
      <c r="E18" s="3">
        <v>3</v>
      </c>
      <c r="F18" s="3">
        <v>7</v>
      </c>
      <c r="G18" s="11">
        <v>2.3333333333333335</v>
      </c>
    </row>
    <row r="19" spans="1:7" x14ac:dyDescent="0.25">
      <c r="C19">
        <v>236</v>
      </c>
      <c r="D19" t="s">
        <v>3</v>
      </c>
      <c r="E19" s="3">
        <v>1</v>
      </c>
      <c r="F19" s="3">
        <v>4</v>
      </c>
      <c r="G19" s="11">
        <v>4</v>
      </c>
    </row>
    <row r="20" spans="1:7" x14ac:dyDescent="0.25">
      <c r="B20">
        <v>51</v>
      </c>
      <c r="C20">
        <v>237</v>
      </c>
      <c r="D20" t="s">
        <v>124</v>
      </c>
      <c r="E20" s="3">
        <v>100</v>
      </c>
      <c r="F20" s="3">
        <v>56</v>
      </c>
      <c r="G20" s="11">
        <v>0.56000000000000005</v>
      </c>
    </row>
    <row r="21" spans="1:7" x14ac:dyDescent="0.25">
      <c r="A21">
        <v>3</v>
      </c>
      <c r="B21">
        <v>52</v>
      </c>
      <c r="C21">
        <v>238</v>
      </c>
      <c r="D21" t="s">
        <v>133</v>
      </c>
      <c r="E21" s="3">
        <v>0</v>
      </c>
      <c r="F21" s="3">
        <v>0</v>
      </c>
      <c r="G21" s="11" t="e">
        <v>#DIV/0!</v>
      </c>
    </row>
    <row r="22" spans="1:7" x14ac:dyDescent="0.25">
      <c r="C22">
        <v>239</v>
      </c>
      <c r="D22" t="s">
        <v>133</v>
      </c>
      <c r="E22" s="3">
        <v>0</v>
      </c>
      <c r="F22" s="3">
        <v>0</v>
      </c>
      <c r="G22" s="11" t="e">
        <v>#DIV/0!</v>
      </c>
    </row>
    <row r="23" spans="1:7" x14ac:dyDescent="0.25">
      <c r="C23">
        <v>240</v>
      </c>
      <c r="D23" t="s">
        <v>133</v>
      </c>
      <c r="E23" s="3">
        <v>2800</v>
      </c>
      <c r="F23" s="3">
        <v>2800</v>
      </c>
      <c r="G23" s="11">
        <v>1</v>
      </c>
    </row>
    <row r="24" spans="1:7" x14ac:dyDescent="0.25">
      <c r="C24">
        <v>241</v>
      </c>
      <c r="D24" t="s">
        <v>6</v>
      </c>
      <c r="E24" s="3">
        <v>750000</v>
      </c>
      <c r="F24" s="3">
        <v>1700038</v>
      </c>
      <c r="G24" s="11">
        <v>2.2667173333333333</v>
      </c>
    </row>
    <row r="25" spans="1:7" x14ac:dyDescent="0.25">
      <c r="C25">
        <v>242</v>
      </c>
      <c r="D25" t="s">
        <v>133</v>
      </c>
      <c r="E25" s="3">
        <v>543</v>
      </c>
      <c r="F25" s="3">
        <v>543</v>
      </c>
      <c r="G25" s="11">
        <v>1</v>
      </c>
    </row>
    <row r="26" spans="1:7" x14ac:dyDescent="0.25">
      <c r="B26">
        <v>53</v>
      </c>
      <c r="C26">
        <v>243</v>
      </c>
      <c r="D26" t="s">
        <v>5</v>
      </c>
      <c r="E26" s="3">
        <v>16</v>
      </c>
      <c r="F26" s="3">
        <v>16</v>
      </c>
      <c r="G26" s="11">
        <v>1</v>
      </c>
    </row>
    <row r="27" spans="1:7" x14ac:dyDescent="0.25">
      <c r="C27">
        <v>244</v>
      </c>
      <c r="D27" t="s">
        <v>6</v>
      </c>
      <c r="E27" s="3">
        <v>4251</v>
      </c>
      <c r="F27" s="3">
        <v>4664</v>
      </c>
      <c r="G27" s="11">
        <v>1.0971536109150788</v>
      </c>
    </row>
    <row r="28" spans="1:7" x14ac:dyDescent="0.25">
      <c r="C28">
        <v>245</v>
      </c>
      <c r="D28" t="s">
        <v>6</v>
      </c>
      <c r="E28" s="3">
        <v>176272</v>
      </c>
      <c r="F28" s="3">
        <v>187566</v>
      </c>
      <c r="G28" s="11">
        <v>1.0640714350549152</v>
      </c>
    </row>
    <row r="29" spans="1:7" x14ac:dyDescent="0.25">
      <c r="C29">
        <v>246</v>
      </c>
      <c r="D29" t="s">
        <v>25</v>
      </c>
      <c r="E29" s="3">
        <v>4</v>
      </c>
      <c r="F29" s="3">
        <v>16</v>
      </c>
      <c r="G29" s="11">
        <v>4</v>
      </c>
    </row>
    <row r="30" spans="1:7" x14ac:dyDescent="0.25">
      <c r="C30">
        <v>247</v>
      </c>
      <c r="D30" t="s">
        <v>26</v>
      </c>
      <c r="E30" s="3">
        <v>10</v>
      </c>
      <c r="F30" s="3">
        <v>10</v>
      </c>
      <c r="G30" s="11">
        <v>1</v>
      </c>
    </row>
    <row r="31" spans="1:7" x14ac:dyDescent="0.25">
      <c r="C31">
        <v>307</v>
      </c>
      <c r="D31" t="s">
        <v>12</v>
      </c>
      <c r="E31" s="3">
        <v>1</v>
      </c>
      <c r="F31" s="3">
        <v>1</v>
      </c>
      <c r="G31" s="11">
        <v>1</v>
      </c>
    </row>
    <row r="32" spans="1:7" x14ac:dyDescent="0.25">
      <c r="B32">
        <v>54</v>
      </c>
      <c r="C32">
        <v>248</v>
      </c>
      <c r="D32" t="s">
        <v>25</v>
      </c>
      <c r="E32" s="3">
        <v>2000000</v>
      </c>
      <c r="F32" s="3">
        <v>2211031</v>
      </c>
      <c r="G32" s="11">
        <v>1.1055155000000001</v>
      </c>
    </row>
    <row r="33" spans="1:7" x14ac:dyDescent="0.25">
      <c r="B33">
        <v>55</v>
      </c>
      <c r="C33">
        <v>249</v>
      </c>
      <c r="D33" t="s">
        <v>26</v>
      </c>
      <c r="E33" s="3">
        <v>250</v>
      </c>
      <c r="F33" s="3">
        <v>256</v>
      </c>
      <c r="G33" s="11">
        <v>1.024</v>
      </c>
    </row>
    <row r="34" spans="1:7" x14ac:dyDescent="0.25">
      <c r="C34">
        <v>250</v>
      </c>
      <c r="D34" t="s">
        <v>32</v>
      </c>
      <c r="E34" s="3">
        <v>80</v>
      </c>
      <c r="F34" s="3">
        <v>104</v>
      </c>
      <c r="G34" s="11">
        <v>1.3</v>
      </c>
    </row>
    <row r="35" spans="1:7" x14ac:dyDescent="0.25">
      <c r="C35">
        <v>251</v>
      </c>
      <c r="D35" t="s">
        <v>87</v>
      </c>
      <c r="E35" s="3">
        <v>230</v>
      </c>
      <c r="F35" s="3">
        <v>263</v>
      </c>
      <c r="G35" s="11">
        <v>1.1434782608695653</v>
      </c>
    </row>
    <row r="36" spans="1:7" x14ac:dyDescent="0.25">
      <c r="A36">
        <v>4</v>
      </c>
      <c r="B36">
        <v>56</v>
      </c>
      <c r="C36">
        <v>252</v>
      </c>
      <c r="D36" t="s">
        <v>3</v>
      </c>
      <c r="E36" s="3">
        <v>3</v>
      </c>
      <c r="F36" s="3">
        <v>2</v>
      </c>
      <c r="G36" s="11">
        <v>0.66666666666666663</v>
      </c>
    </row>
    <row r="37" spans="1:7" x14ac:dyDescent="0.25">
      <c r="B37">
        <v>57</v>
      </c>
      <c r="C37">
        <v>253</v>
      </c>
      <c r="D37" t="s">
        <v>36</v>
      </c>
      <c r="E37" s="3">
        <v>10000000000</v>
      </c>
      <c r="F37" s="3">
        <v>11359904293</v>
      </c>
      <c r="G37" s="11">
        <v>1.1359904293</v>
      </c>
    </row>
    <row r="38" spans="1:7" x14ac:dyDescent="0.25">
      <c r="C38">
        <v>254</v>
      </c>
      <c r="D38" t="s">
        <v>10</v>
      </c>
      <c r="E38" s="3">
        <v>70</v>
      </c>
      <c r="F38" s="3">
        <v>86</v>
      </c>
      <c r="G38" s="11">
        <v>1.2285714285714286</v>
      </c>
    </row>
    <row r="39" spans="1:7" x14ac:dyDescent="0.25">
      <c r="A39">
        <v>5</v>
      </c>
      <c r="B39">
        <v>58</v>
      </c>
      <c r="C39">
        <v>255</v>
      </c>
      <c r="D39" t="s">
        <v>140</v>
      </c>
      <c r="E39" s="3">
        <v>81</v>
      </c>
      <c r="F39" s="3">
        <v>81</v>
      </c>
      <c r="G39" s="11">
        <v>1</v>
      </c>
    </row>
    <row r="40" spans="1:7" x14ac:dyDescent="0.25">
      <c r="C40">
        <v>256</v>
      </c>
      <c r="D40" t="s">
        <v>142</v>
      </c>
      <c r="E40" s="3">
        <v>0</v>
      </c>
      <c r="F40" s="3">
        <v>0</v>
      </c>
      <c r="G40" s="11" t="e">
        <v>#DIV/0!</v>
      </c>
    </row>
    <row r="41" spans="1:7" x14ac:dyDescent="0.25">
      <c r="C41">
        <v>257</v>
      </c>
      <c r="D41" t="s">
        <v>142</v>
      </c>
      <c r="E41" s="3">
        <v>82</v>
      </c>
      <c r="F41" s="3">
        <v>82</v>
      </c>
      <c r="G41" s="11">
        <v>1</v>
      </c>
    </row>
    <row r="42" spans="1:7" x14ac:dyDescent="0.25">
      <c r="C42">
        <v>308</v>
      </c>
      <c r="D42" t="s">
        <v>12</v>
      </c>
      <c r="E42" s="3">
        <v>0</v>
      </c>
      <c r="F42" s="3">
        <v>0</v>
      </c>
      <c r="G42" s="11" t="e">
        <v>#DIV/0!</v>
      </c>
    </row>
    <row r="43" spans="1:7" x14ac:dyDescent="0.25">
      <c r="B43">
        <v>60</v>
      </c>
      <c r="C43">
        <v>259</v>
      </c>
      <c r="D43" t="s">
        <v>6</v>
      </c>
      <c r="E43" s="3">
        <v>1</v>
      </c>
      <c r="F43" s="3">
        <v>1</v>
      </c>
      <c r="G43" s="11">
        <v>1</v>
      </c>
    </row>
    <row r="44" spans="1:7" x14ac:dyDescent="0.25">
      <c r="C44">
        <v>290</v>
      </c>
      <c r="D44" t="s">
        <v>12</v>
      </c>
      <c r="E44" s="3">
        <v>10</v>
      </c>
      <c r="F44" s="3">
        <v>10</v>
      </c>
      <c r="G44" s="11">
        <v>1</v>
      </c>
    </row>
    <row r="45" spans="1:7" x14ac:dyDescent="0.25">
      <c r="C45">
        <v>309</v>
      </c>
      <c r="D45" t="s">
        <v>6</v>
      </c>
      <c r="E45" s="3">
        <v>100</v>
      </c>
      <c r="F45" s="3">
        <v>100</v>
      </c>
      <c r="G45" s="11">
        <v>1</v>
      </c>
    </row>
    <row r="46" spans="1:7" x14ac:dyDescent="0.25">
      <c r="A46">
        <v>6</v>
      </c>
      <c r="B46">
        <v>61</v>
      </c>
      <c r="C46">
        <v>260</v>
      </c>
      <c r="D46" t="s">
        <v>5</v>
      </c>
      <c r="E46" s="3">
        <v>11</v>
      </c>
      <c r="F46" s="3">
        <v>11</v>
      </c>
      <c r="G46" s="11">
        <v>1</v>
      </c>
    </row>
    <row r="47" spans="1:7" x14ac:dyDescent="0.25">
      <c r="C47">
        <v>261</v>
      </c>
      <c r="D47" t="s">
        <v>5</v>
      </c>
      <c r="E47" s="3">
        <v>21</v>
      </c>
      <c r="F47" s="3">
        <v>21</v>
      </c>
      <c r="G47" s="11">
        <v>1</v>
      </c>
    </row>
    <row r="48" spans="1:7" x14ac:dyDescent="0.25">
      <c r="B48">
        <v>62</v>
      </c>
      <c r="C48">
        <v>262</v>
      </c>
      <c r="D48" t="s">
        <v>5</v>
      </c>
      <c r="E48" s="3">
        <v>6</v>
      </c>
      <c r="F48" s="3">
        <v>6</v>
      </c>
      <c r="G48" s="11">
        <v>1</v>
      </c>
    </row>
    <row r="49" spans="1:7" x14ac:dyDescent="0.25">
      <c r="C49">
        <v>263</v>
      </c>
      <c r="D49" t="s">
        <v>5</v>
      </c>
      <c r="E49" s="3">
        <v>1145</v>
      </c>
      <c r="F49" s="3">
        <v>1145</v>
      </c>
      <c r="G49" s="11">
        <v>1</v>
      </c>
    </row>
    <row r="50" spans="1:7" x14ac:dyDescent="0.25">
      <c r="C50">
        <v>264</v>
      </c>
      <c r="D50" t="s">
        <v>6</v>
      </c>
      <c r="E50" s="3">
        <v>2</v>
      </c>
      <c r="F50" s="3">
        <v>2</v>
      </c>
      <c r="G50" s="11">
        <v>1</v>
      </c>
    </row>
    <row r="51" spans="1:7" x14ac:dyDescent="0.25">
      <c r="B51">
        <v>63</v>
      </c>
      <c r="C51">
        <v>265</v>
      </c>
      <c r="D51" t="s">
        <v>5</v>
      </c>
      <c r="E51" s="3">
        <v>55</v>
      </c>
      <c r="F51" s="3">
        <v>55</v>
      </c>
      <c r="G51" s="11">
        <v>1</v>
      </c>
    </row>
    <row r="52" spans="1:7" x14ac:dyDescent="0.25">
      <c r="C52">
        <v>266</v>
      </c>
      <c r="D52" t="s">
        <v>5</v>
      </c>
      <c r="E52" s="3">
        <v>67</v>
      </c>
      <c r="F52" s="3">
        <v>67</v>
      </c>
      <c r="G52" s="11">
        <v>1</v>
      </c>
    </row>
    <row r="53" spans="1:7" x14ac:dyDescent="0.25">
      <c r="B53">
        <v>64</v>
      </c>
      <c r="C53">
        <v>267</v>
      </c>
      <c r="D53" t="s">
        <v>142</v>
      </c>
      <c r="E53" s="3">
        <v>12</v>
      </c>
      <c r="F53" s="3">
        <v>12</v>
      </c>
      <c r="G53" s="11">
        <v>1</v>
      </c>
    </row>
    <row r="54" spans="1:7" x14ac:dyDescent="0.25">
      <c r="B54">
        <v>67</v>
      </c>
      <c r="C54">
        <v>297</v>
      </c>
      <c r="D54" t="s">
        <v>12</v>
      </c>
      <c r="E54" s="3">
        <v>100</v>
      </c>
      <c r="F54" s="3">
        <v>100</v>
      </c>
      <c r="G54" s="11">
        <v>1</v>
      </c>
    </row>
    <row r="55" spans="1:7" x14ac:dyDescent="0.25">
      <c r="C55">
        <v>310</v>
      </c>
      <c r="D55" t="s">
        <v>6</v>
      </c>
      <c r="E55" s="3">
        <v>800000</v>
      </c>
      <c r="F55" s="3">
        <v>800000</v>
      </c>
      <c r="G55" s="11">
        <v>1</v>
      </c>
    </row>
    <row r="56" spans="1:7" x14ac:dyDescent="0.25">
      <c r="A56">
        <v>7</v>
      </c>
      <c r="B56">
        <v>65</v>
      </c>
      <c r="C56">
        <v>268</v>
      </c>
      <c r="D56" t="s">
        <v>148</v>
      </c>
      <c r="E56" s="3">
        <v>4350</v>
      </c>
      <c r="F56" s="3">
        <v>4350</v>
      </c>
      <c r="G56" s="11">
        <v>1</v>
      </c>
    </row>
    <row r="57" spans="1:7" x14ac:dyDescent="0.25">
      <c r="C57">
        <v>269</v>
      </c>
      <c r="D57" t="s">
        <v>148</v>
      </c>
      <c r="E57" s="3">
        <v>20</v>
      </c>
      <c r="F57" s="3">
        <v>20</v>
      </c>
      <c r="G57" s="11">
        <v>1</v>
      </c>
    </row>
    <row r="58" spans="1:7" x14ac:dyDescent="0.25">
      <c r="C58">
        <v>270</v>
      </c>
      <c r="D58" t="s">
        <v>149</v>
      </c>
      <c r="E58" s="3">
        <v>1945</v>
      </c>
      <c r="F58" s="3">
        <v>1801</v>
      </c>
      <c r="G58" s="11">
        <v>0.92596401028277631</v>
      </c>
    </row>
    <row r="59" spans="1:7" x14ac:dyDescent="0.25">
      <c r="C59">
        <v>271</v>
      </c>
      <c r="D59" t="s">
        <v>149</v>
      </c>
      <c r="E59" s="3">
        <v>100</v>
      </c>
      <c r="F59" s="3">
        <v>102</v>
      </c>
      <c r="G59" s="11">
        <v>1.02</v>
      </c>
    </row>
    <row r="60" spans="1:7" x14ac:dyDescent="0.25">
      <c r="B60">
        <v>66</v>
      </c>
      <c r="C60">
        <v>272</v>
      </c>
      <c r="D60" t="s">
        <v>5</v>
      </c>
      <c r="E60" s="3">
        <v>1</v>
      </c>
      <c r="F60" s="3">
        <v>1</v>
      </c>
      <c r="G60" s="11">
        <v>1</v>
      </c>
    </row>
    <row r="61" spans="1:7" x14ac:dyDescent="0.25">
      <c r="C61">
        <v>273</v>
      </c>
      <c r="D61" t="s">
        <v>5</v>
      </c>
      <c r="E61" s="3">
        <v>1</v>
      </c>
      <c r="F61" s="3">
        <v>1</v>
      </c>
      <c r="G61" s="11">
        <v>1</v>
      </c>
    </row>
    <row r="62" spans="1:7" x14ac:dyDescent="0.25">
      <c r="C62">
        <v>274</v>
      </c>
      <c r="D62" t="s">
        <v>3</v>
      </c>
      <c r="E62" s="3">
        <v>60</v>
      </c>
      <c r="F62" s="3">
        <v>60</v>
      </c>
      <c r="G62" s="11">
        <v>1</v>
      </c>
    </row>
    <row r="63" spans="1:7" x14ac:dyDescent="0.25">
      <c r="C63">
        <v>306</v>
      </c>
      <c r="D63" t="s">
        <v>3</v>
      </c>
      <c r="E63" s="3">
        <v>50</v>
      </c>
      <c r="F63" s="3">
        <v>373</v>
      </c>
      <c r="G63" s="11">
        <v>7.46</v>
      </c>
    </row>
    <row r="64" spans="1:7" x14ac:dyDescent="0.25">
      <c r="B64">
        <v>68</v>
      </c>
      <c r="C64">
        <v>275</v>
      </c>
      <c r="D64" t="s">
        <v>133</v>
      </c>
      <c r="E64" s="3">
        <v>150</v>
      </c>
      <c r="F64" s="3">
        <v>150</v>
      </c>
      <c r="G64" s="11">
        <v>1</v>
      </c>
    </row>
    <row r="65" spans="1:7" x14ac:dyDescent="0.25">
      <c r="C65">
        <v>276</v>
      </c>
      <c r="D65" t="s">
        <v>142</v>
      </c>
      <c r="E65" s="3">
        <v>8</v>
      </c>
      <c r="F65" s="3">
        <v>8</v>
      </c>
      <c r="G65" s="11">
        <v>1</v>
      </c>
    </row>
    <row r="66" spans="1:7" x14ac:dyDescent="0.25">
      <c r="A66">
        <v>8</v>
      </c>
      <c r="B66">
        <v>69</v>
      </c>
      <c r="C66">
        <v>277</v>
      </c>
      <c r="D66" t="s">
        <v>157</v>
      </c>
      <c r="E66" s="3">
        <v>90.8</v>
      </c>
      <c r="F66" s="3">
        <v>96</v>
      </c>
      <c r="G66" s="11">
        <v>1.0572687224669604</v>
      </c>
    </row>
    <row r="67" spans="1:7" x14ac:dyDescent="0.25">
      <c r="C67">
        <v>278</v>
      </c>
      <c r="D67" t="s">
        <v>60</v>
      </c>
      <c r="E67" s="3">
        <v>100</v>
      </c>
      <c r="F67" s="3">
        <v>100</v>
      </c>
      <c r="G67" s="11">
        <v>1</v>
      </c>
    </row>
    <row r="68" spans="1:7" x14ac:dyDescent="0.25">
      <c r="C68">
        <v>279</v>
      </c>
      <c r="D68" t="s">
        <v>99</v>
      </c>
      <c r="E68" s="3">
        <v>10</v>
      </c>
      <c r="F68" s="3">
        <v>9</v>
      </c>
      <c r="G68" s="11">
        <v>0.9</v>
      </c>
    </row>
    <row r="69" spans="1:7" x14ac:dyDescent="0.25">
      <c r="B69">
        <v>70</v>
      </c>
      <c r="C69">
        <v>283</v>
      </c>
      <c r="D69" t="s">
        <v>60</v>
      </c>
      <c r="E69" s="3">
        <v>43</v>
      </c>
      <c r="F69" s="3">
        <v>43</v>
      </c>
      <c r="G69" s="11">
        <v>1</v>
      </c>
    </row>
    <row r="70" spans="1:7" x14ac:dyDescent="0.25">
      <c r="B70">
        <v>71</v>
      </c>
      <c r="C70">
        <v>281</v>
      </c>
      <c r="D70" t="s">
        <v>60</v>
      </c>
      <c r="E70" s="3">
        <v>60</v>
      </c>
      <c r="F70" s="3">
        <v>60</v>
      </c>
      <c r="G70" s="11">
        <v>1</v>
      </c>
    </row>
    <row r="71" spans="1:7" x14ac:dyDescent="0.25">
      <c r="B71">
        <v>72</v>
      </c>
      <c r="C71">
        <v>282</v>
      </c>
      <c r="D71" t="s">
        <v>66</v>
      </c>
      <c r="E71" s="3">
        <v>100</v>
      </c>
      <c r="F71" s="3">
        <v>99</v>
      </c>
      <c r="G71" s="11">
        <v>0.99</v>
      </c>
    </row>
    <row r="72" spans="1:7" x14ac:dyDescent="0.25">
      <c r="B72">
        <v>73</v>
      </c>
      <c r="C72">
        <v>280</v>
      </c>
      <c r="D72" t="s">
        <v>60</v>
      </c>
      <c r="E72" s="3">
        <v>100</v>
      </c>
      <c r="F72" s="3">
        <v>100</v>
      </c>
      <c r="G72" s="11">
        <v>1</v>
      </c>
    </row>
    <row r="73" spans="1:7" x14ac:dyDescent="0.25">
      <c r="B73">
        <v>74</v>
      </c>
      <c r="C73">
        <v>284</v>
      </c>
      <c r="D73" t="s">
        <v>155</v>
      </c>
      <c r="E73" s="3">
        <v>90</v>
      </c>
      <c r="F73" s="3">
        <v>94</v>
      </c>
      <c r="G73" s="11">
        <v>1.0444444444444445</v>
      </c>
    </row>
    <row r="74" spans="1:7" x14ac:dyDescent="0.25">
      <c r="C74">
        <v>285</v>
      </c>
      <c r="D74" t="s">
        <v>155</v>
      </c>
      <c r="E74" s="3">
        <v>80</v>
      </c>
      <c r="F74" s="3">
        <v>94</v>
      </c>
      <c r="G74" s="11">
        <v>1.175</v>
      </c>
    </row>
    <row r="75" spans="1:7" x14ac:dyDescent="0.25">
      <c r="B75">
        <v>75</v>
      </c>
      <c r="C75">
        <v>286</v>
      </c>
      <c r="D75" t="s">
        <v>153</v>
      </c>
      <c r="E75" s="3">
        <v>91</v>
      </c>
      <c r="F75" s="3">
        <v>91</v>
      </c>
      <c r="G75" s="11">
        <v>1</v>
      </c>
    </row>
    <row r="76" spans="1:7" x14ac:dyDescent="0.25">
      <c r="B76">
        <v>76</v>
      </c>
      <c r="C76">
        <v>287</v>
      </c>
      <c r="D76" t="s">
        <v>154</v>
      </c>
      <c r="E76" s="3">
        <v>2</v>
      </c>
      <c r="F76" s="3">
        <v>2</v>
      </c>
      <c r="G76" s="11">
        <v>1</v>
      </c>
    </row>
    <row r="77" spans="1:7" x14ac:dyDescent="0.25">
      <c r="B77">
        <v>77</v>
      </c>
      <c r="C77">
        <v>288</v>
      </c>
      <c r="D77" t="s">
        <v>1</v>
      </c>
      <c r="E77" s="3">
        <v>78</v>
      </c>
      <c r="F77" s="3">
        <v>89.66</v>
      </c>
      <c r="G77" s="11">
        <v>1.1494871794871795</v>
      </c>
    </row>
    <row r="78" spans="1:7" x14ac:dyDescent="0.25">
      <c r="A78" s="1" t="s">
        <v>104</v>
      </c>
      <c r="B78" s="1"/>
      <c r="E78" s="3">
        <v>10003745109.799999</v>
      </c>
      <c r="F78" s="3">
        <v>11364824482.66</v>
      </c>
      <c r="G78" s="11">
        <v>1.2884016876277322</v>
      </c>
    </row>
    <row r="79" spans="1:7" x14ac:dyDescent="0.25">
      <c r="C79"/>
      <c r="D79"/>
      <c r="E79"/>
      <c r="F79"/>
      <c r="G79"/>
    </row>
    <row r="80" spans="1:7" x14ac:dyDescent="0.25">
      <c r="C80"/>
      <c r="D80"/>
      <c r="E80"/>
      <c r="F80"/>
      <c r="G80"/>
    </row>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CEA6D-E229-4CB8-B0AC-F4E3A1E2CD8E}">
  <sheetPr>
    <tabColor rgb="FF002060"/>
  </sheetPr>
  <dimension ref="A1:W82"/>
  <sheetViews>
    <sheetView showGridLines="0" topLeftCell="M1" zoomScale="80" zoomScaleNormal="80" zoomScaleSheetLayoutView="85" workbookViewId="0">
      <pane ySplit="4" topLeftCell="A5" activePane="bottomLeft" state="frozen"/>
      <selection pane="bottomLeft"/>
    </sheetView>
  </sheetViews>
  <sheetFormatPr baseColWidth="10" defaultColWidth="11.42578125" defaultRowHeight="15" outlineLevelCol="1" x14ac:dyDescent="0.2"/>
  <cols>
    <col min="1" max="3" width="11.42578125" style="42" customWidth="1" outlineLevel="1"/>
    <col min="4" max="4" width="6.5703125" style="43" customWidth="1"/>
    <col min="5" max="5" width="27.140625" style="44" customWidth="1"/>
    <col min="6" max="6" width="17.140625" style="44" customWidth="1"/>
    <col min="7" max="7" width="5" style="43" customWidth="1"/>
    <col min="8" max="8" width="39.28515625" style="44" customWidth="1"/>
    <col min="9" max="9" width="5" style="43" customWidth="1"/>
    <col min="10" max="10" width="26.28515625" style="47" customWidth="1"/>
    <col min="11" max="11" width="47.42578125" style="44" customWidth="1"/>
    <col min="12" max="12" width="38.7109375" style="44" customWidth="1"/>
    <col min="13" max="13" width="18.7109375" style="44" customWidth="1"/>
    <col min="14" max="14" width="20.28515625" style="43" customWidth="1"/>
    <col min="15" max="17" width="18.7109375" style="44" customWidth="1"/>
    <col min="18" max="18" width="60.7109375" style="44" hidden="1" customWidth="1" outlineLevel="1"/>
    <col min="19" max="19" width="20.28515625" style="44" customWidth="1" collapsed="1"/>
    <col min="20" max="20" width="18.7109375" style="44" customWidth="1" outlineLevel="1"/>
    <col min="21" max="21" width="60.7109375" style="44" customWidth="1" outlineLevel="1"/>
    <col min="22" max="23" width="18.7109375" style="44" customWidth="1"/>
    <col min="24" max="16384" width="11.42578125" style="42"/>
  </cols>
  <sheetData>
    <row r="1" spans="1:23" s="13" customFormat="1" ht="33" customHeight="1" x14ac:dyDescent="0.25">
      <c r="A1" s="114" t="s">
        <v>372</v>
      </c>
      <c r="D1" s="207"/>
      <c r="E1" s="208"/>
      <c r="F1" s="208"/>
      <c r="G1" s="208"/>
      <c r="H1" s="209"/>
      <c r="I1" s="201" t="s">
        <v>236</v>
      </c>
      <c r="J1" s="201"/>
      <c r="K1" s="201"/>
      <c r="L1" s="201"/>
      <c r="M1" s="201"/>
      <c r="N1" s="201"/>
      <c r="O1" s="201"/>
      <c r="P1" s="201"/>
      <c r="Q1" s="201"/>
      <c r="R1" s="201"/>
      <c r="S1" s="201"/>
      <c r="T1" s="201"/>
      <c r="U1" s="201"/>
      <c r="V1" s="201"/>
      <c r="W1" s="202"/>
    </row>
    <row r="2" spans="1:23" s="14" customFormat="1" ht="33" customHeight="1" x14ac:dyDescent="0.25">
      <c r="D2" s="210"/>
      <c r="E2" s="211"/>
      <c r="F2" s="211"/>
      <c r="G2" s="211"/>
      <c r="H2" s="212"/>
      <c r="I2" s="203"/>
      <c r="J2" s="203"/>
      <c r="K2" s="203"/>
      <c r="L2" s="203"/>
      <c r="M2" s="203"/>
      <c r="N2" s="203"/>
      <c r="O2" s="203"/>
      <c r="P2" s="203"/>
      <c r="Q2" s="203"/>
      <c r="R2" s="203"/>
      <c r="S2" s="203"/>
      <c r="T2" s="203"/>
      <c r="U2" s="203"/>
      <c r="V2" s="203"/>
      <c r="W2" s="204"/>
    </row>
    <row r="3" spans="1:23" s="13" customFormat="1" ht="38.25" customHeight="1" thickBot="1" x14ac:dyDescent="0.3">
      <c r="D3" s="213"/>
      <c r="E3" s="214"/>
      <c r="F3" s="214"/>
      <c r="G3" s="214"/>
      <c r="H3" s="215"/>
      <c r="I3" s="205"/>
      <c r="J3" s="205"/>
      <c r="K3" s="205"/>
      <c r="L3" s="205"/>
      <c r="M3" s="205"/>
      <c r="N3" s="205"/>
      <c r="O3" s="205"/>
      <c r="P3" s="205"/>
      <c r="Q3" s="205"/>
      <c r="R3" s="205"/>
      <c r="S3" s="205"/>
      <c r="T3" s="205"/>
      <c r="U3" s="205"/>
      <c r="V3" s="205"/>
      <c r="W3" s="206"/>
    </row>
    <row r="4" spans="1:23" s="16" customFormat="1" ht="51.75" customHeight="1" thickBot="1" x14ac:dyDescent="0.3">
      <c r="A4" s="15" t="s">
        <v>237</v>
      </c>
      <c r="B4" s="15" t="s">
        <v>238</v>
      </c>
      <c r="C4" s="73" t="s">
        <v>239</v>
      </c>
      <c r="D4" s="106" t="s">
        <v>240</v>
      </c>
      <c r="E4" s="107" t="s">
        <v>241</v>
      </c>
      <c r="F4" s="107" t="s">
        <v>242</v>
      </c>
      <c r="G4" s="107" t="s">
        <v>243</v>
      </c>
      <c r="H4" s="107" t="s">
        <v>244</v>
      </c>
      <c r="I4" s="107" t="s">
        <v>243</v>
      </c>
      <c r="J4" s="107" t="s">
        <v>245</v>
      </c>
      <c r="K4" s="107" t="s">
        <v>246</v>
      </c>
      <c r="L4" s="107" t="s">
        <v>247</v>
      </c>
      <c r="M4" s="107" t="s">
        <v>248</v>
      </c>
      <c r="N4" s="108" t="s">
        <v>249</v>
      </c>
      <c r="O4" s="115" t="s">
        <v>371</v>
      </c>
      <c r="P4" s="109" t="s">
        <v>250</v>
      </c>
      <c r="Q4" s="116" t="s">
        <v>373</v>
      </c>
      <c r="R4" s="109" t="s">
        <v>370</v>
      </c>
      <c r="S4" s="113" t="s">
        <v>252</v>
      </c>
      <c r="T4" s="110" t="s">
        <v>368</v>
      </c>
      <c r="U4" s="111" t="s">
        <v>251</v>
      </c>
      <c r="V4" s="109" t="s">
        <v>253</v>
      </c>
      <c r="W4" s="112" t="s">
        <v>254</v>
      </c>
    </row>
    <row r="5" spans="1:23" s="20" customFormat="1" ht="120" customHeight="1" x14ac:dyDescent="0.25">
      <c r="A5" s="17">
        <v>1</v>
      </c>
      <c r="B5" s="17">
        <v>31</v>
      </c>
      <c r="C5" s="74">
        <v>221</v>
      </c>
      <c r="D5" s="216">
        <v>1</v>
      </c>
      <c r="E5" s="200" t="s">
        <v>255</v>
      </c>
      <c r="F5" s="200" t="s">
        <v>256</v>
      </c>
      <c r="G5" s="200">
        <v>1</v>
      </c>
      <c r="H5" s="217" t="s">
        <v>0</v>
      </c>
      <c r="I5" s="200">
        <v>1</v>
      </c>
      <c r="J5" s="200" t="s">
        <v>257</v>
      </c>
      <c r="K5" s="75" t="s">
        <v>258</v>
      </c>
      <c r="L5" s="76" t="s">
        <v>257</v>
      </c>
      <c r="M5" s="76" t="s">
        <v>259</v>
      </c>
      <c r="N5" s="105">
        <v>1</v>
      </c>
      <c r="O5" s="80" t="s">
        <v>260</v>
      </c>
      <c r="P5" s="76" t="s">
        <v>260</v>
      </c>
      <c r="Q5" s="76" t="s">
        <v>260</v>
      </c>
      <c r="R5" s="77" t="s">
        <v>173</v>
      </c>
      <c r="S5" s="80" t="s">
        <v>260</v>
      </c>
      <c r="T5" s="78"/>
      <c r="U5" s="78"/>
      <c r="V5" s="78" t="s">
        <v>260</v>
      </c>
      <c r="W5" s="79">
        <v>1</v>
      </c>
    </row>
    <row r="6" spans="1:23" s="20" customFormat="1" ht="120" customHeight="1" x14ac:dyDescent="0.25">
      <c r="A6" s="17">
        <v>1</v>
      </c>
      <c r="B6" s="17">
        <v>31</v>
      </c>
      <c r="C6" s="74">
        <v>222</v>
      </c>
      <c r="D6" s="193"/>
      <c r="E6" s="192"/>
      <c r="F6" s="192"/>
      <c r="G6" s="192"/>
      <c r="H6" s="198"/>
      <c r="I6" s="192"/>
      <c r="J6" s="192"/>
      <c r="K6" s="69" t="s">
        <v>2</v>
      </c>
      <c r="L6" s="66" t="s">
        <v>257</v>
      </c>
      <c r="M6" s="66" t="s">
        <v>259</v>
      </c>
      <c r="N6" s="81">
        <v>0.25</v>
      </c>
      <c r="O6" s="81" t="s">
        <v>259</v>
      </c>
      <c r="P6" s="50">
        <v>0.25</v>
      </c>
      <c r="Q6" s="50">
        <v>0.25</v>
      </c>
      <c r="R6" s="68" t="s">
        <v>369</v>
      </c>
      <c r="S6" s="90">
        <v>0.25</v>
      </c>
      <c r="T6" s="50"/>
      <c r="U6" s="50"/>
      <c r="V6" s="50">
        <v>0.25</v>
      </c>
      <c r="W6" s="62">
        <v>0.25</v>
      </c>
    </row>
    <row r="7" spans="1:23" s="20" customFormat="1" ht="120" customHeight="1" x14ac:dyDescent="0.25">
      <c r="A7" s="17">
        <v>1</v>
      </c>
      <c r="B7" s="17">
        <v>31</v>
      </c>
      <c r="C7" s="74">
        <v>304</v>
      </c>
      <c r="D7" s="193"/>
      <c r="E7" s="192"/>
      <c r="F7" s="192"/>
      <c r="G7" s="192"/>
      <c r="H7" s="198"/>
      <c r="I7" s="192"/>
      <c r="J7" s="192"/>
      <c r="K7" s="69" t="s">
        <v>4</v>
      </c>
      <c r="L7" s="66" t="s">
        <v>261</v>
      </c>
      <c r="M7" s="66">
        <v>2</v>
      </c>
      <c r="N7" s="82">
        <v>5</v>
      </c>
      <c r="O7" s="82" t="s">
        <v>260</v>
      </c>
      <c r="P7" s="51">
        <v>3</v>
      </c>
      <c r="Q7" s="51">
        <v>3</v>
      </c>
      <c r="R7" s="68" t="s">
        <v>195</v>
      </c>
      <c r="S7" s="82">
        <v>1</v>
      </c>
      <c r="T7" s="51"/>
      <c r="U7" s="51"/>
      <c r="V7" s="51">
        <v>1</v>
      </c>
      <c r="W7" s="19" t="s">
        <v>260</v>
      </c>
    </row>
    <row r="8" spans="1:23" s="20" customFormat="1" ht="120" customHeight="1" x14ac:dyDescent="0.25">
      <c r="A8" s="17">
        <v>1</v>
      </c>
      <c r="B8" s="17">
        <v>32</v>
      </c>
      <c r="C8" s="74">
        <v>223</v>
      </c>
      <c r="D8" s="193"/>
      <c r="E8" s="192"/>
      <c r="F8" s="192"/>
      <c r="G8" s="192">
        <v>2</v>
      </c>
      <c r="H8" s="196" t="s">
        <v>262</v>
      </c>
      <c r="I8" s="192">
        <v>2</v>
      </c>
      <c r="J8" s="192" t="s">
        <v>256</v>
      </c>
      <c r="K8" s="69" t="s">
        <v>120</v>
      </c>
      <c r="L8" s="66" t="s">
        <v>263</v>
      </c>
      <c r="M8" s="66" t="s">
        <v>259</v>
      </c>
      <c r="N8" s="84">
        <v>3</v>
      </c>
      <c r="O8" s="82" t="s">
        <v>260</v>
      </c>
      <c r="P8" s="66" t="s">
        <v>260</v>
      </c>
      <c r="Q8" s="66" t="s">
        <v>260</v>
      </c>
      <c r="R8" s="92" t="s">
        <v>171</v>
      </c>
      <c r="S8" s="93" t="s">
        <v>260</v>
      </c>
      <c r="T8" s="18"/>
      <c r="U8" s="18"/>
      <c r="V8" s="18">
        <v>2</v>
      </c>
      <c r="W8" s="19">
        <v>3</v>
      </c>
    </row>
    <row r="9" spans="1:23" s="20" customFormat="1" ht="120" customHeight="1" x14ac:dyDescent="0.25">
      <c r="A9" s="17">
        <v>1</v>
      </c>
      <c r="B9" s="17">
        <v>32</v>
      </c>
      <c r="C9" s="74">
        <v>224</v>
      </c>
      <c r="D9" s="193"/>
      <c r="E9" s="192"/>
      <c r="F9" s="192"/>
      <c r="G9" s="192"/>
      <c r="H9" s="196"/>
      <c r="I9" s="192"/>
      <c r="J9" s="192"/>
      <c r="K9" s="69" t="s">
        <v>121</v>
      </c>
      <c r="L9" s="66" t="s">
        <v>264</v>
      </c>
      <c r="M9" s="66" t="s">
        <v>259</v>
      </c>
      <c r="N9" s="84">
        <v>3</v>
      </c>
      <c r="O9" s="82" t="s">
        <v>260</v>
      </c>
      <c r="P9" s="66" t="s">
        <v>260</v>
      </c>
      <c r="Q9" s="66" t="s">
        <v>260</v>
      </c>
      <c r="R9" s="68" t="s">
        <v>172</v>
      </c>
      <c r="S9" s="93">
        <v>1</v>
      </c>
      <c r="T9" s="18"/>
      <c r="U9" s="18"/>
      <c r="V9" s="18">
        <v>2</v>
      </c>
      <c r="W9" s="19">
        <v>3</v>
      </c>
    </row>
    <row r="10" spans="1:23" s="20" customFormat="1" ht="120" customHeight="1" x14ac:dyDescent="0.25">
      <c r="A10" s="17">
        <v>1</v>
      </c>
      <c r="B10" s="17">
        <v>32</v>
      </c>
      <c r="C10" s="74">
        <v>226</v>
      </c>
      <c r="D10" s="193"/>
      <c r="E10" s="192"/>
      <c r="F10" s="192"/>
      <c r="G10" s="192"/>
      <c r="H10" s="196"/>
      <c r="I10" s="192"/>
      <c r="J10" s="192"/>
      <c r="K10" s="69" t="s">
        <v>265</v>
      </c>
      <c r="L10" s="66" t="s">
        <v>266</v>
      </c>
      <c r="M10" s="66" t="s">
        <v>260</v>
      </c>
      <c r="N10" s="83">
        <v>1</v>
      </c>
      <c r="O10" s="83" t="s">
        <v>259</v>
      </c>
      <c r="P10" s="52">
        <v>0.25</v>
      </c>
      <c r="Q10" s="52">
        <v>0.35</v>
      </c>
      <c r="R10" s="68" t="s">
        <v>125</v>
      </c>
      <c r="S10" s="94">
        <v>0.25</v>
      </c>
      <c r="T10" s="22"/>
      <c r="U10" s="22"/>
      <c r="V10" s="22">
        <v>0.25</v>
      </c>
      <c r="W10" s="23">
        <v>0.25</v>
      </c>
    </row>
    <row r="11" spans="1:23" s="20" customFormat="1" ht="120" customHeight="1" x14ac:dyDescent="0.25">
      <c r="A11" s="17">
        <v>1</v>
      </c>
      <c r="B11" s="17">
        <v>32</v>
      </c>
      <c r="C11" s="74">
        <v>227</v>
      </c>
      <c r="D11" s="193"/>
      <c r="E11" s="192"/>
      <c r="F11" s="192"/>
      <c r="G11" s="192"/>
      <c r="H11" s="196"/>
      <c r="I11" s="192"/>
      <c r="J11" s="192"/>
      <c r="K11" s="69" t="s">
        <v>267</v>
      </c>
      <c r="L11" s="66" t="s">
        <v>261</v>
      </c>
      <c r="M11" s="66">
        <v>1</v>
      </c>
      <c r="N11" s="82">
        <v>3</v>
      </c>
      <c r="O11" s="82" t="s">
        <v>260</v>
      </c>
      <c r="P11" s="66">
        <v>1</v>
      </c>
      <c r="Q11" s="66">
        <v>1</v>
      </c>
      <c r="R11" s="68" t="s">
        <v>194</v>
      </c>
      <c r="S11" s="95">
        <v>1</v>
      </c>
      <c r="T11" s="24"/>
      <c r="U11" s="24"/>
      <c r="V11" s="24">
        <v>1</v>
      </c>
      <c r="W11" s="25">
        <v>0</v>
      </c>
    </row>
    <row r="12" spans="1:23" s="20" customFormat="1" ht="120" customHeight="1" x14ac:dyDescent="0.25">
      <c r="A12" s="17">
        <v>1</v>
      </c>
      <c r="B12" s="17">
        <v>33</v>
      </c>
      <c r="C12" s="74">
        <v>228</v>
      </c>
      <c r="D12" s="193"/>
      <c r="E12" s="192"/>
      <c r="F12" s="192"/>
      <c r="G12" s="66">
        <v>3</v>
      </c>
      <c r="H12" s="53" t="s">
        <v>7</v>
      </c>
      <c r="I12" s="66">
        <v>3</v>
      </c>
      <c r="J12" s="66" t="s">
        <v>261</v>
      </c>
      <c r="K12" s="69" t="s">
        <v>268</v>
      </c>
      <c r="L12" s="66" t="s">
        <v>269</v>
      </c>
      <c r="M12" s="66">
        <v>10</v>
      </c>
      <c r="N12" s="84">
        <v>10</v>
      </c>
      <c r="O12" s="84">
        <f>+Q12-P12</f>
        <v>3</v>
      </c>
      <c r="P12" s="66">
        <v>1</v>
      </c>
      <c r="Q12" s="66">
        <v>4</v>
      </c>
      <c r="R12" s="68" t="s">
        <v>196</v>
      </c>
      <c r="S12" s="93">
        <v>2</v>
      </c>
      <c r="T12" s="18"/>
      <c r="U12" s="18"/>
      <c r="V12" s="18">
        <v>3</v>
      </c>
      <c r="W12" s="19">
        <v>4</v>
      </c>
    </row>
    <row r="13" spans="1:23" s="20" customFormat="1" ht="120" customHeight="1" x14ac:dyDescent="0.25">
      <c r="A13" s="17">
        <v>2</v>
      </c>
      <c r="B13" s="17">
        <v>47</v>
      </c>
      <c r="C13" s="74">
        <v>229</v>
      </c>
      <c r="D13" s="193">
        <v>2</v>
      </c>
      <c r="E13" s="192" t="s">
        <v>270</v>
      </c>
      <c r="F13" s="192" t="s">
        <v>271</v>
      </c>
      <c r="G13" s="192">
        <v>1</v>
      </c>
      <c r="H13" s="198" t="s">
        <v>272</v>
      </c>
      <c r="I13" s="192">
        <v>1</v>
      </c>
      <c r="J13" s="192" t="s">
        <v>273</v>
      </c>
      <c r="K13" s="69" t="s">
        <v>274</v>
      </c>
      <c r="L13" s="66" t="s">
        <v>273</v>
      </c>
      <c r="M13" s="49">
        <v>0.93</v>
      </c>
      <c r="N13" s="81">
        <v>1</v>
      </c>
      <c r="O13" s="81" t="s">
        <v>259</v>
      </c>
      <c r="P13" s="52">
        <v>0.93</v>
      </c>
      <c r="Q13" s="52">
        <v>0.93</v>
      </c>
      <c r="R13" s="68" t="s">
        <v>224</v>
      </c>
      <c r="S13" s="94">
        <v>0.96</v>
      </c>
      <c r="T13" s="22"/>
      <c r="U13" s="22"/>
      <c r="V13" s="22">
        <v>0.98</v>
      </c>
      <c r="W13" s="23">
        <v>1</v>
      </c>
    </row>
    <row r="14" spans="1:23" s="20" customFormat="1" ht="120" customHeight="1" x14ac:dyDescent="0.25">
      <c r="A14" s="17">
        <v>2</v>
      </c>
      <c r="B14" s="17">
        <v>47</v>
      </c>
      <c r="C14" s="74">
        <v>230</v>
      </c>
      <c r="D14" s="193"/>
      <c r="E14" s="192"/>
      <c r="F14" s="192"/>
      <c r="G14" s="192"/>
      <c r="H14" s="198"/>
      <c r="I14" s="192"/>
      <c r="J14" s="192"/>
      <c r="K14" s="69" t="s">
        <v>11</v>
      </c>
      <c r="L14" s="66" t="s">
        <v>273</v>
      </c>
      <c r="M14" s="66">
        <v>547</v>
      </c>
      <c r="N14" s="85">
        <v>2547</v>
      </c>
      <c r="O14" s="85">
        <f>+Q14-P14</f>
        <v>2055</v>
      </c>
      <c r="P14" s="55">
        <v>1047</v>
      </c>
      <c r="Q14" s="55">
        <v>3102</v>
      </c>
      <c r="R14" s="68" t="s">
        <v>230</v>
      </c>
      <c r="S14" s="96">
        <v>1547</v>
      </c>
      <c r="T14" s="27"/>
      <c r="U14" s="27"/>
      <c r="V14" s="27">
        <v>2047</v>
      </c>
      <c r="W14" s="28">
        <v>2547</v>
      </c>
    </row>
    <row r="15" spans="1:23" s="20" customFormat="1" ht="120" customHeight="1" x14ac:dyDescent="0.25">
      <c r="A15" s="17">
        <v>2</v>
      </c>
      <c r="B15" s="17">
        <v>47</v>
      </c>
      <c r="C15" s="74">
        <v>231</v>
      </c>
      <c r="D15" s="193"/>
      <c r="E15" s="192"/>
      <c r="F15" s="192"/>
      <c r="G15" s="192"/>
      <c r="H15" s="198"/>
      <c r="I15" s="192"/>
      <c r="J15" s="192"/>
      <c r="K15" s="69" t="s">
        <v>128</v>
      </c>
      <c r="L15" s="66" t="s">
        <v>273</v>
      </c>
      <c r="M15" s="66">
        <v>1063</v>
      </c>
      <c r="N15" s="84">
        <v>1134</v>
      </c>
      <c r="O15" s="82" t="s">
        <v>260</v>
      </c>
      <c r="P15" s="55" t="s">
        <v>260</v>
      </c>
      <c r="Q15" s="55" t="s">
        <v>260</v>
      </c>
      <c r="R15" s="68" t="s">
        <v>129</v>
      </c>
      <c r="S15" s="96">
        <v>1134</v>
      </c>
      <c r="T15" s="27"/>
      <c r="U15" s="27"/>
      <c r="V15" s="27" t="s">
        <v>260</v>
      </c>
      <c r="W15" s="28"/>
    </row>
    <row r="16" spans="1:23" s="20" customFormat="1" ht="120" customHeight="1" x14ac:dyDescent="0.25">
      <c r="A16" s="17">
        <v>2</v>
      </c>
      <c r="B16" s="17">
        <v>49</v>
      </c>
      <c r="C16" s="74">
        <v>233</v>
      </c>
      <c r="D16" s="193"/>
      <c r="E16" s="192"/>
      <c r="F16" s="192"/>
      <c r="G16" s="192">
        <v>3</v>
      </c>
      <c r="H16" s="196" t="s">
        <v>275</v>
      </c>
      <c r="I16" s="192">
        <v>3</v>
      </c>
      <c r="J16" s="192" t="s">
        <v>276</v>
      </c>
      <c r="K16" s="69" t="s">
        <v>13</v>
      </c>
      <c r="L16" s="66" t="s">
        <v>276</v>
      </c>
      <c r="M16" s="66">
        <v>11</v>
      </c>
      <c r="N16" s="84">
        <v>16</v>
      </c>
      <c r="O16" s="84">
        <f>+Q16-P16</f>
        <v>1</v>
      </c>
      <c r="P16" s="66">
        <v>16</v>
      </c>
      <c r="Q16" s="66">
        <v>17</v>
      </c>
      <c r="R16" s="68" t="s">
        <v>197</v>
      </c>
      <c r="S16" s="93">
        <v>16</v>
      </c>
      <c r="T16" s="18"/>
      <c r="U16" s="18"/>
      <c r="V16" s="18">
        <v>16</v>
      </c>
      <c r="W16" s="19">
        <v>16</v>
      </c>
    </row>
    <row r="17" spans="1:23" s="20" customFormat="1" ht="120" customHeight="1" x14ac:dyDescent="0.25">
      <c r="A17" s="17">
        <v>2</v>
      </c>
      <c r="B17" s="17">
        <v>49</v>
      </c>
      <c r="C17" s="74">
        <v>234</v>
      </c>
      <c r="D17" s="193"/>
      <c r="E17" s="192"/>
      <c r="F17" s="192"/>
      <c r="G17" s="192"/>
      <c r="H17" s="196"/>
      <c r="I17" s="192"/>
      <c r="J17" s="192"/>
      <c r="K17" s="69" t="s">
        <v>14</v>
      </c>
      <c r="L17" s="66" t="s">
        <v>276</v>
      </c>
      <c r="M17" s="66">
        <v>7</v>
      </c>
      <c r="N17" s="84">
        <v>10</v>
      </c>
      <c r="O17" s="84">
        <f>+Q17-P17</f>
        <v>2</v>
      </c>
      <c r="P17" s="66">
        <v>8</v>
      </c>
      <c r="Q17" s="66">
        <v>10</v>
      </c>
      <c r="R17" s="68" t="s">
        <v>198</v>
      </c>
      <c r="S17" s="93">
        <v>9</v>
      </c>
      <c r="T17" s="18"/>
      <c r="U17" s="18"/>
      <c r="V17" s="18">
        <v>10</v>
      </c>
      <c r="W17" s="19">
        <v>10</v>
      </c>
    </row>
    <row r="18" spans="1:23" s="20" customFormat="1" ht="120" customHeight="1" x14ac:dyDescent="0.25">
      <c r="A18" s="17">
        <v>2</v>
      </c>
      <c r="B18" s="17">
        <v>49</v>
      </c>
      <c r="C18" s="74">
        <v>289</v>
      </c>
      <c r="D18" s="193"/>
      <c r="E18" s="192"/>
      <c r="F18" s="192"/>
      <c r="G18" s="192"/>
      <c r="H18" s="196"/>
      <c r="I18" s="192"/>
      <c r="J18" s="192"/>
      <c r="K18" s="69" t="s">
        <v>277</v>
      </c>
      <c r="L18" s="66" t="s">
        <v>278</v>
      </c>
      <c r="M18" s="66" t="s">
        <v>279</v>
      </c>
      <c r="N18" s="84">
        <v>2</v>
      </c>
      <c r="O18" s="84">
        <f>+Q18-P18</f>
        <v>-1</v>
      </c>
      <c r="P18" s="66">
        <v>1</v>
      </c>
      <c r="Q18" s="66">
        <v>0</v>
      </c>
      <c r="R18" s="68" t="s">
        <v>219</v>
      </c>
      <c r="S18" s="93">
        <v>2</v>
      </c>
      <c r="T18" s="18"/>
      <c r="U18" s="18"/>
      <c r="V18" s="18">
        <v>2</v>
      </c>
      <c r="W18" s="19">
        <v>2</v>
      </c>
    </row>
    <row r="19" spans="1:23" s="20" customFormat="1" ht="120" customHeight="1" x14ac:dyDescent="0.25">
      <c r="A19" s="17">
        <v>2</v>
      </c>
      <c r="B19" s="17">
        <v>50</v>
      </c>
      <c r="C19" s="74">
        <v>235</v>
      </c>
      <c r="D19" s="193"/>
      <c r="E19" s="192"/>
      <c r="F19" s="192"/>
      <c r="G19" s="192">
        <v>4</v>
      </c>
      <c r="H19" s="198" t="s">
        <v>280</v>
      </c>
      <c r="I19" s="192">
        <v>4</v>
      </c>
      <c r="J19" s="66" t="s">
        <v>281</v>
      </c>
      <c r="K19" s="69" t="s">
        <v>282</v>
      </c>
      <c r="L19" s="66" t="s">
        <v>281</v>
      </c>
      <c r="M19" s="66" t="s">
        <v>260</v>
      </c>
      <c r="N19" s="84">
        <v>10</v>
      </c>
      <c r="O19" s="84">
        <f>+Q19-P19</f>
        <v>4</v>
      </c>
      <c r="P19" s="66">
        <v>3</v>
      </c>
      <c r="Q19" s="66">
        <v>7</v>
      </c>
      <c r="R19" s="68" t="s">
        <v>199</v>
      </c>
      <c r="S19" s="93">
        <v>6</v>
      </c>
      <c r="T19" s="18"/>
      <c r="U19" s="18"/>
      <c r="V19" s="18">
        <v>9</v>
      </c>
      <c r="W19" s="19">
        <v>10</v>
      </c>
    </row>
    <row r="20" spans="1:23" s="20" customFormat="1" ht="120" customHeight="1" x14ac:dyDescent="0.25">
      <c r="A20" s="17">
        <v>2</v>
      </c>
      <c r="B20" s="17">
        <v>50</v>
      </c>
      <c r="C20" s="74">
        <v>236</v>
      </c>
      <c r="D20" s="193"/>
      <c r="E20" s="192"/>
      <c r="F20" s="192"/>
      <c r="G20" s="192"/>
      <c r="H20" s="198"/>
      <c r="I20" s="192"/>
      <c r="J20" s="66" t="s">
        <v>281</v>
      </c>
      <c r="K20" s="69" t="s">
        <v>16</v>
      </c>
      <c r="L20" s="66" t="s">
        <v>281</v>
      </c>
      <c r="M20" s="66" t="s">
        <v>260</v>
      </c>
      <c r="N20" s="84">
        <v>5</v>
      </c>
      <c r="O20" s="84">
        <f>+Q20-P20</f>
        <v>3</v>
      </c>
      <c r="P20" s="66">
        <v>1</v>
      </c>
      <c r="Q20" s="66">
        <v>4</v>
      </c>
      <c r="R20" s="68" t="s">
        <v>200</v>
      </c>
      <c r="S20" s="93">
        <v>2</v>
      </c>
      <c r="T20" s="18"/>
      <c r="U20" s="18"/>
      <c r="V20" s="18">
        <v>4</v>
      </c>
      <c r="W20" s="19">
        <v>5</v>
      </c>
    </row>
    <row r="21" spans="1:23" s="20" customFormat="1" ht="120" customHeight="1" x14ac:dyDescent="0.25">
      <c r="A21" s="17">
        <v>2</v>
      </c>
      <c r="B21" s="17">
        <v>51</v>
      </c>
      <c r="C21" s="74">
        <v>237</v>
      </c>
      <c r="D21" s="193"/>
      <c r="E21" s="192"/>
      <c r="F21" s="192"/>
      <c r="G21" s="66">
        <v>5</v>
      </c>
      <c r="H21" s="69" t="s">
        <v>17</v>
      </c>
      <c r="I21" s="66">
        <v>5</v>
      </c>
      <c r="J21" s="66" t="s">
        <v>283</v>
      </c>
      <c r="K21" s="69" t="s">
        <v>18</v>
      </c>
      <c r="L21" s="66" t="s">
        <v>283</v>
      </c>
      <c r="M21" s="49">
        <v>1</v>
      </c>
      <c r="N21" s="81">
        <v>1</v>
      </c>
      <c r="O21" s="81" t="s">
        <v>259</v>
      </c>
      <c r="P21" s="49">
        <v>1</v>
      </c>
      <c r="Q21" s="49">
        <v>0.56000000000000005</v>
      </c>
      <c r="R21" s="68" t="s">
        <v>130</v>
      </c>
      <c r="S21" s="97">
        <v>1</v>
      </c>
      <c r="T21" s="21"/>
      <c r="U21" s="21"/>
      <c r="V21" s="21">
        <v>1</v>
      </c>
      <c r="W21" s="29">
        <v>1</v>
      </c>
    </row>
    <row r="22" spans="1:23" s="20" customFormat="1" ht="120" customHeight="1" x14ac:dyDescent="0.25">
      <c r="A22" s="17">
        <v>3</v>
      </c>
      <c r="B22" s="17">
        <v>52</v>
      </c>
      <c r="C22" s="74">
        <v>238</v>
      </c>
      <c r="D22" s="193">
        <v>3</v>
      </c>
      <c r="E22" s="192" t="s">
        <v>19</v>
      </c>
      <c r="F22" s="192" t="s">
        <v>256</v>
      </c>
      <c r="G22" s="192">
        <v>1</v>
      </c>
      <c r="H22" s="198" t="s">
        <v>284</v>
      </c>
      <c r="I22" s="192">
        <v>1</v>
      </c>
      <c r="J22" s="192" t="s">
        <v>285</v>
      </c>
      <c r="K22" s="69" t="s">
        <v>134</v>
      </c>
      <c r="L22" s="66" t="s">
        <v>286</v>
      </c>
      <c r="M22" s="66">
        <v>3.8</v>
      </c>
      <c r="N22" s="84">
        <v>4.2</v>
      </c>
      <c r="O22" s="84" t="s">
        <v>259</v>
      </c>
      <c r="P22" s="66" t="s">
        <v>259</v>
      </c>
      <c r="Q22" s="66">
        <v>0</v>
      </c>
      <c r="R22" s="68" t="s">
        <v>135</v>
      </c>
      <c r="S22" s="98">
        <v>4</v>
      </c>
      <c r="T22" s="30"/>
      <c r="U22" s="30"/>
      <c r="V22" s="18" t="s">
        <v>259</v>
      </c>
      <c r="W22" s="19">
        <v>4.2</v>
      </c>
    </row>
    <row r="23" spans="1:23" s="20" customFormat="1" ht="120" customHeight="1" x14ac:dyDescent="0.25">
      <c r="A23" s="17">
        <v>3</v>
      </c>
      <c r="B23" s="17">
        <v>52</v>
      </c>
      <c r="C23" s="74">
        <v>239</v>
      </c>
      <c r="D23" s="193"/>
      <c r="E23" s="192"/>
      <c r="F23" s="192"/>
      <c r="G23" s="192"/>
      <c r="H23" s="198"/>
      <c r="I23" s="192"/>
      <c r="J23" s="192"/>
      <c r="K23" s="69" t="s">
        <v>287</v>
      </c>
      <c r="L23" s="66" t="s">
        <v>286</v>
      </c>
      <c r="M23" s="66">
        <v>4.2</v>
      </c>
      <c r="N23" s="84">
        <v>4.4000000000000004</v>
      </c>
      <c r="O23" s="84" t="s">
        <v>259</v>
      </c>
      <c r="P23" s="66" t="s">
        <v>259</v>
      </c>
      <c r="Q23" s="66">
        <v>0</v>
      </c>
      <c r="R23" s="68" t="s">
        <v>135</v>
      </c>
      <c r="S23" s="98">
        <v>4.3</v>
      </c>
      <c r="T23" s="30"/>
      <c r="U23" s="30"/>
      <c r="V23" s="18" t="s">
        <v>279</v>
      </c>
      <c r="W23" s="19">
        <v>4.4000000000000004</v>
      </c>
    </row>
    <row r="24" spans="1:23" s="20" customFormat="1" ht="120" customHeight="1" x14ac:dyDescent="0.25">
      <c r="A24" s="17">
        <v>3</v>
      </c>
      <c r="B24" s="17">
        <v>52</v>
      </c>
      <c r="C24" s="74">
        <v>240</v>
      </c>
      <c r="D24" s="193"/>
      <c r="E24" s="192"/>
      <c r="F24" s="192"/>
      <c r="G24" s="192"/>
      <c r="H24" s="198"/>
      <c r="I24" s="192"/>
      <c r="J24" s="192"/>
      <c r="K24" s="69" t="s">
        <v>21</v>
      </c>
      <c r="L24" s="66" t="s">
        <v>286</v>
      </c>
      <c r="M24" s="54">
        <v>1300</v>
      </c>
      <c r="N24" s="85">
        <v>7300</v>
      </c>
      <c r="O24" s="85">
        <f>+Q24-P24</f>
        <v>0</v>
      </c>
      <c r="P24" s="54">
        <v>2800</v>
      </c>
      <c r="Q24" s="54">
        <v>2800</v>
      </c>
      <c r="R24" s="68" t="s">
        <v>185</v>
      </c>
      <c r="S24" s="99">
        <v>4300</v>
      </c>
      <c r="T24" s="26"/>
      <c r="U24" s="26"/>
      <c r="V24" s="26">
        <v>5800</v>
      </c>
      <c r="W24" s="31">
        <v>7300</v>
      </c>
    </row>
    <row r="25" spans="1:23" s="20" customFormat="1" ht="120" customHeight="1" x14ac:dyDescent="0.25">
      <c r="A25" s="17">
        <v>3</v>
      </c>
      <c r="B25" s="17">
        <v>52</v>
      </c>
      <c r="C25" s="74">
        <v>241</v>
      </c>
      <c r="D25" s="193"/>
      <c r="E25" s="192"/>
      <c r="F25" s="192"/>
      <c r="G25" s="192"/>
      <c r="H25" s="198"/>
      <c r="I25" s="192"/>
      <c r="J25" s="192"/>
      <c r="K25" s="69" t="s">
        <v>288</v>
      </c>
      <c r="L25" s="66" t="s">
        <v>289</v>
      </c>
      <c r="M25" s="54">
        <v>970000</v>
      </c>
      <c r="N25" s="85">
        <v>3000000</v>
      </c>
      <c r="O25" s="85" t="s">
        <v>259</v>
      </c>
      <c r="P25" s="54">
        <v>750000</v>
      </c>
      <c r="Q25" s="54">
        <v>1700038</v>
      </c>
      <c r="R25" s="68" t="s">
        <v>162</v>
      </c>
      <c r="S25" s="99">
        <v>1500000</v>
      </c>
      <c r="T25" s="26"/>
      <c r="U25" s="26"/>
      <c r="V25" s="26">
        <v>2250000</v>
      </c>
      <c r="W25" s="31">
        <v>3000000</v>
      </c>
    </row>
    <row r="26" spans="1:23" s="20" customFormat="1" ht="120" customHeight="1" x14ac:dyDescent="0.25">
      <c r="A26" s="17">
        <v>3</v>
      </c>
      <c r="B26" s="17">
        <v>52</v>
      </c>
      <c r="C26" s="74">
        <v>242</v>
      </c>
      <c r="D26" s="193"/>
      <c r="E26" s="192"/>
      <c r="F26" s="192"/>
      <c r="G26" s="192"/>
      <c r="H26" s="198"/>
      <c r="I26" s="192"/>
      <c r="J26" s="192"/>
      <c r="K26" s="69" t="s">
        <v>290</v>
      </c>
      <c r="L26" s="66" t="s">
        <v>291</v>
      </c>
      <c r="M26" s="54" t="s">
        <v>259</v>
      </c>
      <c r="N26" s="85">
        <v>1100</v>
      </c>
      <c r="O26" s="85">
        <f>+Q26-P26</f>
        <v>0</v>
      </c>
      <c r="P26" s="54">
        <v>543</v>
      </c>
      <c r="Q26" s="54">
        <v>543</v>
      </c>
      <c r="R26" s="68" t="s">
        <v>137</v>
      </c>
      <c r="S26" s="99">
        <v>730</v>
      </c>
      <c r="T26" s="26"/>
      <c r="U26" s="26"/>
      <c r="V26" s="26">
        <v>915</v>
      </c>
      <c r="W26" s="31">
        <v>1100</v>
      </c>
    </row>
    <row r="27" spans="1:23" s="20" customFormat="1" ht="120" customHeight="1" x14ac:dyDescent="0.25">
      <c r="A27" s="17">
        <v>3</v>
      </c>
      <c r="B27" s="17">
        <v>53</v>
      </c>
      <c r="C27" s="74">
        <v>243</v>
      </c>
      <c r="D27" s="193"/>
      <c r="E27" s="192"/>
      <c r="F27" s="192"/>
      <c r="G27" s="192">
        <v>2</v>
      </c>
      <c r="H27" s="196" t="s">
        <v>23</v>
      </c>
      <c r="I27" s="192">
        <v>2</v>
      </c>
      <c r="J27" s="192" t="s">
        <v>292</v>
      </c>
      <c r="K27" s="69" t="s">
        <v>293</v>
      </c>
      <c r="L27" s="66" t="s">
        <v>294</v>
      </c>
      <c r="M27" s="54">
        <v>8</v>
      </c>
      <c r="N27" s="85">
        <v>32</v>
      </c>
      <c r="O27" s="85">
        <f>+Q27-P27</f>
        <v>0</v>
      </c>
      <c r="P27" s="54">
        <v>16</v>
      </c>
      <c r="Q27" s="54">
        <v>16</v>
      </c>
      <c r="R27" s="68" t="s">
        <v>175</v>
      </c>
      <c r="S27" s="99">
        <v>24</v>
      </c>
      <c r="T27" s="26"/>
      <c r="U27" s="26"/>
      <c r="V27" s="26">
        <v>29</v>
      </c>
      <c r="W27" s="31">
        <v>32</v>
      </c>
    </row>
    <row r="28" spans="1:23" s="20" customFormat="1" ht="120" customHeight="1" x14ac:dyDescent="0.25">
      <c r="A28" s="17">
        <v>3</v>
      </c>
      <c r="B28" s="17">
        <v>53</v>
      </c>
      <c r="C28" s="74">
        <v>244</v>
      </c>
      <c r="D28" s="193"/>
      <c r="E28" s="192"/>
      <c r="F28" s="192"/>
      <c r="G28" s="192"/>
      <c r="H28" s="196"/>
      <c r="I28" s="192"/>
      <c r="J28" s="192"/>
      <c r="K28" s="69" t="s">
        <v>24</v>
      </c>
      <c r="L28" s="66" t="s">
        <v>292</v>
      </c>
      <c r="M28" s="54">
        <v>2048</v>
      </c>
      <c r="N28" s="85">
        <v>11291</v>
      </c>
      <c r="O28" s="85" t="s">
        <v>259</v>
      </c>
      <c r="P28" s="54">
        <v>4251</v>
      </c>
      <c r="Q28" s="54">
        <v>4664</v>
      </c>
      <c r="R28" s="68" t="s">
        <v>212</v>
      </c>
      <c r="S28" s="99">
        <v>6571</v>
      </c>
      <c r="T28" s="26"/>
      <c r="U28" s="26"/>
      <c r="V28" s="26">
        <v>8931</v>
      </c>
      <c r="W28" s="31">
        <v>11291</v>
      </c>
    </row>
    <row r="29" spans="1:23" s="20" customFormat="1" ht="120" customHeight="1" x14ac:dyDescent="0.25">
      <c r="A29" s="17">
        <v>3</v>
      </c>
      <c r="B29" s="17">
        <v>53</v>
      </c>
      <c r="C29" s="74">
        <v>245</v>
      </c>
      <c r="D29" s="193"/>
      <c r="E29" s="192"/>
      <c r="F29" s="192"/>
      <c r="G29" s="192"/>
      <c r="H29" s="196"/>
      <c r="I29" s="192"/>
      <c r="J29" s="192"/>
      <c r="K29" s="69" t="s">
        <v>295</v>
      </c>
      <c r="L29" s="66" t="s">
        <v>292</v>
      </c>
      <c r="M29" s="54">
        <v>162140</v>
      </c>
      <c r="N29" s="85">
        <v>251000</v>
      </c>
      <c r="O29" s="85" t="s">
        <v>259</v>
      </c>
      <c r="P29" s="54">
        <v>201000</v>
      </c>
      <c r="Q29" s="54">
        <v>187566</v>
      </c>
      <c r="R29" s="68" t="s">
        <v>213</v>
      </c>
      <c r="S29" s="99">
        <v>211000</v>
      </c>
      <c r="T29" s="26"/>
      <c r="U29" s="26"/>
      <c r="V29" s="26">
        <v>231000</v>
      </c>
      <c r="W29" s="31">
        <v>251000</v>
      </c>
    </row>
    <row r="30" spans="1:23" s="20" customFormat="1" ht="120" customHeight="1" x14ac:dyDescent="0.25">
      <c r="A30" s="17">
        <v>3</v>
      </c>
      <c r="B30" s="17">
        <v>53</v>
      </c>
      <c r="C30" s="74">
        <v>246</v>
      </c>
      <c r="D30" s="193"/>
      <c r="E30" s="192"/>
      <c r="F30" s="192"/>
      <c r="G30" s="192"/>
      <c r="H30" s="196"/>
      <c r="I30" s="192"/>
      <c r="J30" s="192"/>
      <c r="K30" s="69" t="s">
        <v>296</v>
      </c>
      <c r="L30" s="66" t="s">
        <v>297</v>
      </c>
      <c r="M30" s="66">
        <v>217</v>
      </c>
      <c r="N30" s="84">
        <v>317</v>
      </c>
      <c r="O30" s="84">
        <f>+Q30-P30</f>
        <v>12</v>
      </c>
      <c r="P30" s="66">
        <v>4</v>
      </c>
      <c r="Q30" s="66">
        <v>16</v>
      </c>
      <c r="R30" s="68" t="s">
        <v>201</v>
      </c>
      <c r="S30" s="93">
        <v>144</v>
      </c>
      <c r="T30" s="18"/>
      <c r="U30" s="18"/>
      <c r="V30" s="18">
        <v>150</v>
      </c>
      <c r="W30" s="19">
        <v>317</v>
      </c>
    </row>
    <row r="31" spans="1:23" s="20" customFormat="1" ht="120" customHeight="1" x14ac:dyDescent="0.25">
      <c r="A31" s="17">
        <v>3</v>
      </c>
      <c r="B31" s="17">
        <v>53</v>
      </c>
      <c r="C31" s="74">
        <v>247</v>
      </c>
      <c r="D31" s="193"/>
      <c r="E31" s="192"/>
      <c r="F31" s="192"/>
      <c r="G31" s="192"/>
      <c r="H31" s="196"/>
      <c r="I31" s="192"/>
      <c r="J31" s="192"/>
      <c r="K31" s="69" t="s">
        <v>27</v>
      </c>
      <c r="L31" s="66" t="s">
        <v>298</v>
      </c>
      <c r="M31" s="66" t="s">
        <v>279</v>
      </c>
      <c r="N31" s="84">
        <v>40</v>
      </c>
      <c r="O31" s="84">
        <f>+Q31-P31</f>
        <v>0</v>
      </c>
      <c r="P31" s="66">
        <v>10</v>
      </c>
      <c r="Q31" s="66">
        <v>10</v>
      </c>
      <c r="R31" s="68" t="s">
        <v>159</v>
      </c>
      <c r="S31" s="93">
        <v>20</v>
      </c>
      <c r="T31" s="18"/>
      <c r="U31" s="18"/>
      <c r="V31" s="18">
        <v>30</v>
      </c>
      <c r="W31" s="19">
        <v>40</v>
      </c>
    </row>
    <row r="32" spans="1:23" s="20" customFormat="1" ht="120" customHeight="1" x14ac:dyDescent="0.25">
      <c r="A32" s="17">
        <v>3</v>
      </c>
      <c r="B32" s="17">
        <v>53</v>
      </c>
      <c r="C32" s="74">
        <v>307</v>
      </c>
      <c r="D32" s="193"/>
      <c r="E32" s="192"/>
      <c r="F32" s="192"/>
      <c r="G32" s="192"/>
      <c r="H32" s="196"/>
      <c r="I32" s="192"/>
      <c r="J32" s="192"/>
      <c r="K32" s="69" t="s">
        <v>299</v>
      </c>
      <c r="L32" s="66" t="s">
        <v>278</v>
      </c>
      <c r="M32" s="66" t="s">
        <v>279</v>
      </c>
      <c r="N32" s="84">
        <v>1</v>
      </c>
      <c r="O32" s="84">
        <f>+Q32-P32</f>
        <v>0</v>
      </c>
      <c r="P32" s="66">
        <v>1</v>
      </c>
      <c r="Q32" s="66">
        <v>1</v>
      </c>
      <c r="R32" s="68" t="s">
        <v>220</v>
      </c>
      <c r="S32" s="93">
        <v>1</v>
      </c>
      <c r="T32" s="18"/>
      <c r="U32" s="18"/>
      <c r="V32" s="18">
        <v>1</v>
      </c>
      <c r="W32" s="19">
        <v>1</v>
      </c>
    </row>
    <row r="33" spans="1:23" s="20" customFormat="1" ht="120" customHeight="1" x14ac:dyDescent="0.25">
      <c r="A33" s="17">
        <v>3</v>
      </c>
      <c r="B33" s="17">
        <v>54</v>
      </c>
      <c r="C33" s="74">
        <v>248</v>
      </c>
      <c r="D33" s="193"/>
      <c r="E33" s="192"/>
      <c r="F33" s="192"/>
      <c r="G33" s="66">
        <v>3</v>
      </c>
      <c r="H33" s="69" t="s">
        <v>29</v>
      </c>
      <c r="I33" s="66">
        <v>3</v>
      </c>
      <c r="J33" s="66" t="s">
        <v>300</v>
      </c>
      <c r="K33" s="69" t="s">
        <v>30</v>
      </c>
      <c r="L33" s="66" t="s">
        <v>301</v>
      </c>
      <c r="M33" s="54">
        <v>1100000</v>
      </c>
      <c r="N33" s="85">
        <v>4400000</v>
      </c>
      <c r="O33" s="85" t="s">
        <v>259</v>
      </c>
      <c r="P33" s="54">
        <v>2000000</v>
      </c>
      <c r="Q33" s="54">
        <v>2211031</v>
      </c>
      <c r="R33" s="68" t="s">
        <v>202</v>
      </c>
      <c r="S33" s="99">
        <v>2700000</v>
      </c>
      <c r="T33" s="26"/>
      <c r="U33" s="26"/>
      <c r="V33" s="26">
        <v>3400000</v>
      </c>
      <c r="W33" s="31">
        <v>4400000</v>
      </c>
    </row>
    <row r="34" spans="1:23" s="20" customFormat="1" ht="120" customHeight="1" x14ac:dyDescent="0.25">
      <c r="A34" s="17">
        <v>3</v>
      </c>
      <c r="B34" s="17">
        <v>55</v>
      </c>
      <c r="C34" s="74">
        <v>249</v>
      </c>
      <c r="D34" s="193"/>
      <c r="E34" s="192"/>
      <c r="F34" s="192"/>
      <c r="G34" s="192">
        <v>4</v>
      </c>
      <c r="H34" s="198" t="s">
        <v>31</v>
      </c>
      <c r="I34" s="192">
        <v>4</v>
      </c>
      <c r="J34" s="192" t="s">
        <v>302</v>
      </c>
      <c r="K34" s="69" t="s">
        <v>132</v>
      </c>
      <c r="L34" s="66" t="s">
        <v>298</v>
      </c>
      <c r="M34" s="54" t="s">
        <v>259</v>
      </c>
      <c r="N34" s="85">
        <v>1000</v>
      </c>
      <c r="O34" s="85">
        <f t="shared" ref="O34:O40" si="0">+Q34-P34</f>
        <v>6</v>
      </c>
      <c r="P34" s="66">
        <v>250</v>
      </c>
      <c r="Q34" s="66">
        <v>256</v>
      </c>
      <c r="R34" s="68" t="s">
        <v>176</v>
      </c>
      <c r="S34" s="93">
        <v>500</v>
      </c>
      <c r="T34" s="18"/>
      <c r="U34" s="18"/>
      <c r="V34" s="18">
        <v>750</v>
      </c>
      <c r="W34" s="19">
        <v>1000</v>
      </c>
    </row>
    <row r="35" spans="1:23" s="20" customFormat="1" ht="120" customHeight="1" x14ac:dyDescent="0.25">
      <c r="A35" s="17">
        <v>3</v>
      </c>
      <c r="B35" s="17">
        <v>55</v>
      </c>
      <c r="C35" s="74">
        <v>250</v>
      </c>
      <c r="D35" s="193"/>
      <c r="E35" s="192"/>
      <c r="F35" s="192"/>
      <c r="G35" s="192"/>
      <c r="H35" s="198"/>
      <c r="I35" s="192"/>
      <c r="J35" s="192"/>
      <c r="K35" s="69" t="s">
        <v>303</v>
      </c>
      <c r="L35" s="66" t="s">
        <v>32</v>
      </c>
      <c r="M35" s="54">
        <v>40</v>
      </c>
      <c r="N35" s="85">
        <v>200</v>
      </c>
      <c r="O35" s="85">
        <f t="shared" si="0"/>
        <v>24</v>
      </c>
      <c r="P35" s="54">
        <v>80</v>
      </c>
      <c r="Q35" s="54">
        <v>104</v>
      </c>
      <c r="R35" s="68" t="s">
        <v>232</v>
      </c>
      <c r="S35" s="99">
        <v>120</v>
      </c>
      <c r="T35" s="26"/>
      <c r="U35" s="26"/>
      <c r="V35" s="26">
        <v>160</v>
      </c>
      <c r="W35" s="31">
        <v>200</v>
      </c>
    </row>
    <row r="36" spans="1:23" s="20" customFormat="1" ht="120" customHeight="1" x14ac:dyDescent="0.25">
      <c r="A36" s="17">
        <v>3</v>
      </c>
      <c r="B36" s="17">
        <v>55</v>
      </c>
      <c r="C36" s="74">
        <v>251</v>
      </c>
      <c r="D36" s="193"/>
      <c r="E36" s="192"/>
      <c r="F36" s="192"/>
      <c r="G36" s="192"/>
      <c r="H36" s="198"/>
      <c r="I36" s="192"/>
      <c r="J36" s="192"/>
      <c r="K36" s="69" t="s">
        <v>304</v>
      </c>
      <c r="L36" s="66" t="s">
        <v>305</v>
      </c>
      <c r="M36" s="54">
        <v>130</v>
      </c>
      <c r="N36" s="85">
        <v>530</v>
      </c>
      <c r="O36" s="85">
        <f t="shared" si="0"/>
        <v>33</v>
      </c>
      <c r="P36" s="66">
        <v>230</v>
      </c>
      <c r="Q36" s="66">
        <v>263</v>
      </c>
      <c r="R36" s="68" t="s">
        <v>225</v>
      </c>
      <c r="S36" s="93">
        <v>330</v>
      </c>
      <c r="T36" s="18"/>
      <c r="U36" s="18"/>
      <c r="V36" s="18">
        <v>430</v>
      </c>
      <c r="W36" s="19">
        <v>530</v>
      </c>
    </row>
    <row r="37" spans="1:23" s="20" customFormat="1" ht="120" customHeight="1" x14ac:dyDescent="0.25">
      <c r="A37" s="17">
        <v>4</v>
      </c>
      <c r="B37" s="17">
        <v>56</v>
      </c>
      <c r="C37" s="74">
        <v>252</v>
      </c>
      <c r="D37" s="193">
        <v>4</v>
      </c>
      <c r="E37" s="192" t="s">
        <v>34</v>
      </c>
      <c r="F37" s="192" t="s">
        <v>256</v>
      </c>
      <c r="G37" s="66">
        <v>1</v>
      </c>
      <c r="H37" s="66" t="s">
        <v>306</v>
      </c>
      <c r="I37" s="66">
        <v>1</v>
      </c>
      <c r="J37" s="66" t="s">
        <v>281</v>
      </c>
      <c r="K37" s="69" t="s">
        <v>35</v>
      </c>
      <c r="L37" s="66" t="s">
        <v>307</v>
      </c>
      <c r="M37" s="66" t="s">
        <v>279</v>
      </c>
      <c r="N37" s="84">
        <v>3</v>
      </c>
      <c r="O37" s="84">
        <f t="shared" si="0"/>
        <v>-1</v>
      </c>
      <c r="P37" s="66">
        <v>3</v>
      </c>
      <c r="Q37" s="66">
        <v>2</v>
      </c>
      <c r="R37" s="68" t="s">
        <v>234</v>
      </c>
      <c r="S37" s="93">
        <v>0</v>
      </c>
      <c r="T37" s="18"/>
      <c r="U37" s="18"/>
      <c r="V37" s="18">
        <v>0</v>
      </c>
      <c r="W37" s="19">
        <v>0</v>
      </c>
    </row>
    <row r="38" spans="1:23" s="20" customFormat="1" ht="120" customHeight="1" x14ac:dyDescent="0.25">
      <c r="A38" s="17">
        <v>4</v>
      </c>
      <c r="B38" s="17">
        <v>57</v>
      </c>
      <c r="C38" s="74">
        <v>253</v>
      </c>
      <c r="D38" s="193"/>
      <c r="E38" s="192"/>
      <c r="F38" s="192"/>
      <c r="G38" s="192">
        <v>2</v>
      </c>
      <c r="H38" s="198" t="s">
        <v>308</v>
      </c>
      <c r="I38" s="192">
        <v>2</v>
      </c>
      <c r="J38" s="66" t="s">
        <v>309</v>
      </c>
      <c r="K38" s="69" t="s">
        <v>37</v>
      </c>
      <c r="L38" s="66" t="s">
        <v>310</v>
      </c>
      <c r="M38" s="66" t="s">
        <v>260</v>
      </c>
      <c r="N38" s="86">
        <v>40000000000</v>
      </c>
      <c r="O38" s="86">
        <f t="shared" si="0"/>
        <v>1359904293</v>
      </c>
      <c r="P38" s="56">
        <v>10000000000</v>
      </c>
      <c r="Q38" s="56">
        <v>11359904293</v>
      </c>
      <c r="R38" s="68" t="s">
        <v>160</v>
      </c>
      <c r="S38" s="100">
        <v>20000000000</v>
      </c>
      <c r="T38" s="32"/>
      <c r="U38" s="32"/>
      <c r="V38" s="32">
        <v>30000000000</v>
      </c>
      <c r="W38" s="33">
        <v>40000000000</v>
      </c>
    </row>
    <row r="39" spans="1:23" s="20" customFormat="1" ht="120" customHeight="1" x14ac:dyDescent="0.25">
      <c r="A39" s="17">
        <v>4</v>
      </c>
      <c r="B39" s="17">
        <v>57</v>
      </c>
      <c r="C39" s="74">
        <v>254</v>
      </c>
      <c r="D39" s="193"/>
      <c r="E39" s="192"/>
      <c r="F39" s="192"/>
      <c r="G39" s="192"/>
      <c r="H39" s="198"/>
      <c r="I39" s="192"/>
      <c r="J39" s="66" t="s">
        <v>311</v>
      </c>
      <c r="K39" s="69" t="s">
        <v>312</v>
      </c>
      <c r="L39" s="66" t="s">
        <v>311</v>
      </c>
      <c r="M39" s="66">
        <v>20</v>
      </c>
      <c r="N39" s="84">
        <v>200</v>
      </c>
      <c r="O39" s="84">
        <f t="shared" si="0"/>
        <v>16</v>
      </c>
      <c r="P39" s="56">
        <v>70</v>
      </c>
      <c r="Q39" s="56">
        <v>86</v>
      </c>
      <c r="R39" s="68" t="s">
        <v>231</v>
      </c>
      <c r="S39" s="100">
        <v>100</v>
      </c>
      <c r="T39" s="32"/>
      <c r="U39" s="32"/>
      <c r="V39" s="32">
        <v>150</v>
      </c>
      <c r="W39" s="33">
        <v>200</v>
      </c>
    </row>
    <row r="40" spans="1:23" s="20" customFormat="1" ht="120" customHeight="1" x14ac:dyDescent="0.25">
      <c r="A40" s="17">
        <v>5</v>
      </c>
      <c r="B40" s="17">
        <v>58</v>
      </c>
      <c r="C40" s="74">
        <v>255</v>
      </c>
      <c r="D40" s="193">
        <v>5</v>
      </c>
      <c r="E40" s="192" t="s">
        <v>38</v>
      </c>
      <c r="F40" s="192" t="s">
        <v>256</v>
      </c>
      <c r="G40" s="192">
        <v>1</v>
      </c>
      <c r="H40" s="198" t="s">
        <v>39</v>
      </c>
      <c r="I40" s="192">
        <v>1</v>
      </c>
      <c r="J40" s="192" t="s">
        <v>313</v>
      </c>
      <c r="K40" s="69" t="s">
        <v>314</v>
      </c>
      <c r="L40" s="66" t="s">
        <v>313</v>
      </c>
      <c r="M40" s="66">
        <v>59</v>
      </c>
      <c r="N40" s="84">
        <v>133</v>
      </c>
      <c r="O40" s="84">
        <f t="shared" si="0"/>
        <v>0</v>
      </c>
      <c r="P40" s="66">
        <v>81</v>
      </c>
      <c r="Q40" s="66">
        <v>81</v>
      </c>
      <c r="R40" s="68" t="s">
        <v>210</v>
      </c>
      <c r="S40" s="93">
        <v>98</v>
      </c>
      <c r="T40" s="18"/>
      <c r="U40" s="18"/>
      <c r="V40" s="18">
        <v>115</v>
      </c>
      <c r="W40" s="19">
        <v>133</v>
      </c>
    </row>
    <row r="41" spans="1:23" s="20" customFormat="1" ht="120" customHeight="1" x14ac:dyDescent="0.25">
      <c r="A41" s="17">
        <v>5</v>
      </c>
      <c r="B41" s="17">
        <v>58</v>
      </c>
      <c r="C41" s="74">
        <v>256</v>
      </c>
      <c r="D41" s="193"/>
      <c r="E41" s="192"/>
      <c r="F41" s="192"/>
      <c r="G41" s="192"/>
      <c r="H41" s="198"/>
      <c r="I41" s="192"/>
      <c r="J41" s="192"/>
      <c r="K41" s="69" t="s">
        <v>315</v>
      </c>
      <c r="L41" s="66" t="s">
        <v>316</v>
      </c>
      <c r="M41" s="66" t="s">
        <v>259</v>
      </c>
      <c r="N41" s="84">
        <v>1</v>
      </c>
      <c r="O41" s="82" t="s">
        <v>260</v>
      </c>
      <c r="P41" s="66" t="s">
        <v>260</v>
      </c>
      <c r="Q41" s="66" t="s">
        <v>260</v>
      </c>
      <c r="R41" s="68" t="s">
        <v>226</v>
      </c>
      <c r="S41" s="93" t="s">
        <v>260</v>
      </c>
      <c r="T41" s="18"/>
      <c r="U41" s="18"/>
      <c r="V41" s="18" t="s">
        <v>260</v>
      </c>
      <c r="W41" s="19">
        <v>1</v>
      </c>
    </row>
    <row r="42" spans="1:23" s="20" customFormat="1" ht="120" customHeight="1" x14ac:dyDescent="0.25">
      <c r="A42" s="17">
        <v>5</v>
      </c>
      <c r="B42" s="17">
        <v>58</v>
      </c>
      <c r="C42" s="74">
        <v>257</v>
      </c>
      <c r="D42" s="193"/>
      <c r="E42" s="192"/>
      <c r="F42" s="192"/>
      <c r="G42" s="192"/>
      <c r="H42" s="198"/>
      <c r="I42" s="192"/>
      <c r="J42" s="192"/>
      <c r="K42" s="69" t="s">
        <v>40</v>
      </c>
      <c r="L42" s="66" t="s">
        <v>316</v>
      </c>
      <c r="M42" s="66" t="s">
        <v>317</v>
      </c>
      <c r="N42" s="84">
        <v>328</v>
      </c>
      <c r="O42" s="84">
        <f>+Q42-P42</f>
        <v>0</v>
      </c>
      <c r="P42" s="66">
        <v>82</v>
      </c>
      <c r="Q42" s="66">
        <v>82</v>
      </c>
      <c r="R42" s="68" t="s">
        <v>227</v>
      </c>
      <c r="S42" s="93">
        <v>164</v>
      </c>
      <c r="T42" s="18"/>
      <c r="U42" s="18"/>
      <c r="V42" s="18">
        <v>246</v>
      </c>
      <c r="W42" s="19">
        <v>328</v>
      </c>
    </row>
    <row r="43" spans="1:23" s="20" customFormat="1" ht="120" customHeight="1" x14ac:dyDescent="0.25">
      <c r="A43" s="17">
        <v>5</v>
      </c>
      <c r="B43" s="17">
        <v>60</v>
      </c>
      <c r="C43" s="74">
        <v>259</v>
      </c>
      <c r="D43" s="193"/>
      <c r="E43" s="192"/>
      <c r="F43" s="192"/>
      <c r="G43" s="192">
        <v>2</v>
      </c>
      <c r="H43" s="196" t="s">
        <v>318</v>
      </c>
      <c r="I43" s="192">
        <v>2</v>
      </c>
      <c r="J43" s="192" t="s">
        <v>319</v>
      </c>
      <c r="K43" s="69" t="s">
        <v>42</v>
      </c>
      <c r="L43" s="66" t="s">
        <v>320</v>
      </c>
      <c r="M43" s="66" t="s">
        <v>260</v>
      </c>
      <c r="N43" s="84">
        <v>4</v>
      </c>
      <c r="O43" s="84">
        <f>+Q43-P43</f>
        <v>0</v>
      </c>
      <c r="P43" s="66">
        <v>1</v>
      </c>
      <c r="Q43" s="66">
        <v>1</v>
      </c>
      <c r="R43" s="68" t="s">
        <v>214</v>
      </c>
      <c r="S43" s="93">
        <v>2</v>
      </c>
      <c r="T43" s="18"/>
      <c r="U43" s="18"/>
      <c r="V43" s="18">
        <v>3</v>
      </c>
      <c r="W43" s="19">
        <v>4</v>
      </c>
    </row>
    <row r="44" spans="1:23" s="20" customFormat="1" ht="120" customHeight="1" x14ac:dyDescent="0.25">
      <c r="A44" s="17">
        <v>5</v>
      </c>
      <c r="B44" s="17">
        <v>60</v>
      </c>
      <c r="C44" s="74">
        <v>290</v>
      </c>
      <c r="D44" s="193"/>
      <c r="E44" s="192"/>
      <c r="F44" s="192"/>
      <c r="G44" s="192"/>
      <c r="H44" s="196"/>
      <c r="I44" s="192"/>
      <c r="J44" s="192"/>
      <c r="K44" s="69" t="s">
        <v>321</v>
      </c>
      <c r="L44" s="66" t="s">
        <v>278</v>
      </c>
      <c r="M44" s="66" t="s">
        <v>279</v>
      </c>
      <c r="N44" s="84" t="s">
        <v>322</v>
      </c>
      <c r="O44" s="84" t="s">
        <v>259</v>
      </c>
      <c r="P44" s="66" t="s">
        <v>322</v>
      </c>
      <c r="Q44" s="66">
        <v>10</v>
      </c>
      <c r="R44" s="68" t="s">
        <v>221</v>
      </c>
      <c r="S44" s="93" t="s">
        <v>322</v>
      </c>
      <c r="T44" s="18"/>
      <c r="U44" s="18"/>
      <c r="V44" s="18" t="s">
        <v>322</v>
      </c>
      <c r="W44" s="19" t="s">
        <v>322</v>
      </c>
    </row>
    <row r="45" spans="1:23" s="20" customFormat="1" ht="120" customHeight="1" x14ac:dyDescent="0.25">
      <c r="A45" s="17">
        <v>5</v>
      </c>
      <c r="B45" s="17">
        <v>60</v>
      </c>
      <c r="C45" s="74">
        <v>309</v>
      </c>
      <c r="D45" s="193"/>
      <c r="E45" s="192"/>
      <c r="F45" s="192"/>
      <c r="G45" s="192"/>
      <c r="H45" s="196"/>
      <c r="I45" s="192"/>
      <c r="J45" s="192"/>
      <c r="K45" s="69" t="s">
        <v>90</v>
      </c>
      <c r="L45" s="66" t="s">
        <v>292</v>
      </c>
      <c r="M45" s="54">
        <v>300</v>
      </c>
      <c r="N45" s="85">
        <v>417</v>
      </c>
      <c r="O45" s="85">
        <f t="shared" ref="O45:O50" si="1">+Q45-P45</f>
        <v>0</v>
      </c>
      <c r="P45" s="66">
        <v>100</v>
      </c>
      <c r="Q45" s="66">
        <v>100</v>
      </c>
      <c r="R45" s="68" t="s">
        <v>139</v>
      </c>
      <c r="S45" s="93">
        <v>107</v>
      </c>
      <c r="T45" s="18"/>
      <c r="U45" s="18"/>
      <c r="V45" s="18">
        <v>317</v>
      </c>
      <c r="W45" s="19">
        <v>417</v>
      </c>
    </row>
    <row r="46" spans="1:23" s="20" customFormat="1" ht="120" customHeight="1" x14ac:dyDescent="0.25">
      <c r="A46" s="17">
        <v>6</v>
      </c>
      <c r="B46" s="17">
        <v>61</v>
      </c>
      <c r="C46" s="74">
        <v>260</v>
      </c>
      <c r="D46" s="193">
        <v>6</v>
      </c>
      <c r="E46" s="192" t="s">
        <v>323</v>
      </c>
      <c r="F46" s="192" t="s">
        <v>294</v>
      </c>
      <c r="G46" s="192">
        <v>1</v>
      </c>
      <c r="H46" s="198" t="s">
        <v>44</v>
      </c>
      <c r="I46" s="192">
        <v>1</v>
      </c>
      <c r="J46" s="192" t="s">
        <v>294</v>
      </c>
      <c r="K46" s="69" t="s">
        <v>45</v>
      </c>
      <c r="L46" s="192" t="s">
        <v>294</v>
      </c>
      <c r="M46" s="66">
        <v>10</v>
      </c>
      <c r="N46" s="84">
        <v>14</v>
      </c>
      <c r="O46" s="84">
        <f t="shared" si="1"/>
        <v>0</v>
      </c>
      <c r="P46" s="66">
        <v>11</v>
      </c>
      <c r="Q46" s="66">
        <v>11</v>
      </c>
      <c r="R46" s="68" t="s">
        <v>166</v>
      </c>
      <c r="S46" s="93">
        <v>12</v>
      </c>
      <c r="T46" s="18"/>
      <c r="U46" s="18"/>
      <c r="V46" s="18">
        <v>13</v>
      </c>
      <c r="W46" s="19">
        <v>14</v>
      </c>
    </row>
    <row r="47" spans="1:23" s="20" customFormat="1" ht="120" customHeight="1" x14ac:dyDescent="0.25">
      <c r="A47" s="17">
        <v>6</v>
      </c>
      <c r="B47" s="17">
        <v>61</v>
      </c>
      <c r="C47" s="74">
        <v>261</v>
      </c>
      <c r="D47" s="193"/>
      <c r="E47" s="192"/>
      <c r="F47" s="192"/>
      <c r="G47" s="192"/>
      <c r="H47" s="198"/>
      <c r="I47" s="192"/>
      <c r="J47" s="192"/>
      <c r="K47" s="69" t="s">
        <v>46</v>
      </c>
      <c r="L47" s="192"/>
      <c r="M47" s="66" t="s">
        <v>259</v>
      </c>
      <c r="N47" s="84">
        <v>200</v>
      </c>
      <c r="O47" s="84">
        <f t="shared" si="1"/>
        <v>0</v>
      </c>
      <c r="P47" s="66">
        <v>21</v>
      </c>
      <c r="Q47" s="66">
        <v>21</v>
      </c>
      <c r="R47" s="68" t="s">
        <v>177</v>
      </c>
      <c r="S47" s="93">
        <v>86</v>
      </c>
      <c r="T47" s="18"/>
      <c r="U47" s="18"/>
      <c r="V47" s="18">
        <v>151</v>
      </c>
      <c r="W47" s="19">
        <v>200</v>
      </c>
    </row>
    <row r="48" spans="1:23" s="20" customFormat="1" ht="120" customHeight="1" x14ac:dyDescent="0.25">
      <c r="A48" s="17">
        <v>6</v>
      </c>
      <c r="B48" s="17">
        <v>62</v>
      </c>
      <c r="C48" s="74">
        <v>262</v>
      </c>
      <c r="D48" s="193"/>
      <c r="E48" s="192"/>
      <c r="F48" s="192"/>
      <c r="G48" s="192">
        <v>2</v>
      </c>
      <c r="H48" s="198" t="s">
        <v>47</v>
      </c>
      <c r="I48" s="192">
        <v>2</v>
      </c>
      <c r="J48" s="192" t="s">
        <v>324</v>
      </c>
      <c r="K48" s="69" t="s">
        <v>325</v>
      </c>
      <c r="L48" s="192" t="s">
        <v>294</v>
      </c>
      <c r="M48" s="66">
        <v>5</v>
      </c>
      <c r="N48" s="84">
        <v>8</v>
      </c>
      <c r="O48" s="84">
        <f t="shared" si="1"/>
        <v>0</v>
      </c>
      <c r="P48" s="66">
        <v>6</v>
      </c>
      <c r="Q48" s="66">
        <v>6</v>
      </c>
      <c r="R48" s="68" t="s">
        <v>163</v>
      </c>
      <c r="S48" s="93">
        <v>6</v>
      </c>
      <c r="T48" s="18"/>
      <c r="U48" s="18"/>
      <c r="V48" s="18">
        <v>7</v>
      </c>
      <c r="W48" s="19">
        <v>8</v>
      </c>
    </row>
    <row r="49" spans="1:23" s="20" customFormat="1" ht="120" customHeight="1" x14ac:dyDescent="0.25">
      <c r="A49" s="17">
        <v>6</v>
      </c>
      <c r="B49" s="17">
        <v>62</v>
      </c>
      <c r="C49" s="74">
        <v>263</v>
      </c>
      <c r="D49" s="193"/>
      <c r="E49" s="192"/>
      <c r="F49" s="192"/>
      <c r="G49" s="192"/>
      <c r="H49" s="198"/>
      <c r="I49" s="192"/>
      <c r="J49" s="192"/>
      <c r="K49" s="69" t="s">
        <v>48</v>
      </c>
      <c r="L49" s="192"/>
      <c r="M49" s="66">
        <v>1141</v>
      </c>
      <c r="N49" s="84">
        <v>1161</v>
      </c>
      <c r="O49" s="84">
        <f t="shared" si="1"/>
        <v>0</v>
      </c>
      <c r="P49" s="66">
        <v>1145</v>
      </c>
      <c r="Q49" s="66">
        <v>1145</v>
      </c>
      <c r="R49" s="68" t="s">
        <v>164</v>
      </c>
      <c r="S49" s="93">
        <v>1152</v>
      </c>
      <c r="T49" s="18"/>
      <c r="U49" s="18"/>
      <c r="V49" s="18">
        <v>1159</v>
      </c>
      <c r="W49" s="19">
        <v>1161</v>
      </c>
    </row>
    <row r="50" spans="1:23" s="20" customFormat="1" ht="120" customHeight="1" x14ac:dyDescent="0.25">
      <c r="A50" s="17">
        <v>6</v>
      </c>
      <c r="B50" s="17">
        <v>62</v>
      </c>
      <c r="C50" s="74">
        <v>264</v>
      </c>
      <c r="D50" s="193"/>
      <c r="E50" s="192"/>
      <c r="F50" s="192"/>
      <c r="G50" s="192"/>
      <c r="H50" s="198"/>
      <c r="I50" s="192"/>
      <c r="J50" s="192"/>
      <c r="K50" s="69" t="s">
        <v>326</v>
      </c>
      <c r="L50" s="66" t="s">
        <v>289</v>
      </c>
      <c r="M50" s="66">
        <v>2</v>
      </c>
      <c r="N50" s="84">
        <v>4</v>
      </c>
      <c r="O50" s="84">
        <f t="shared" si="1"/>
        <v>0</v>
      </c>
      <c r="P50" s="66">
        <v>2</v>
      </c>
      <c r="Q50" s="66">
        <v>2</v>
      </c>
      <c r="R50" s="68" t="s">
        <v>215</v>
      </c>
      <c r="S50" s="93">
        <v>2</v>
      </c>
      <c r="T50" s="18"/>
      <c r="U50" s="18"/>
      <c r="V50" s="18">
        <v>3</v>
      </c>
      <c r="W50" s="19">
        <v>4</v>
      </c>
    </row>
    <row r="51" spans="1:23" s="20" customFormat="1" ht="120" customHeight="1" x14ac:dyDescent="0.25">
      <c r="A51" s="17">
        <v>6</v>
      </c>
      <c r="B51" s="17">
        <v>67</v>
      </c>
      <c r="C51" s="74">
        <v>297</v>
      </c>
      <c r="D51" s="193"/>
      <c r="E51" s="192"/>
      <c r="F51" s="192"/>
      <c r="G51" s="199">
        <v>3</v>
      </c>
      <c r="H51" s="198" t="s">
        <v>96</v>
      </c>
      <c r="I51" s="199">
        <v>3</v>
      </c>
      <c r="J51" s="192" t="s">
        <v>278</v>
      </c>
      <c r="K51" s="69" t="s">
        <v>327</v>
      </c>
      <c r="L51" s="66" t="s">
        <v>278</v>
      </c>
      <c r="M51" s="66" t="s">
        <v>279</v>
      </c>
      <c r="N51" s="81">
        <v>1</v>
      </c>
      <c r="O51" s="81" t="s">
        <v>259</v>
      </c>
      <c r="P51" s="49">
        <v>1</v>
      </c>
      <c r="Q51" s="49">
        <v>1</v>
      </c>
      <c r="R51" s="68" t="s">
        <v>233</v>
      </c>
      <c r="S51" s="97">
        <v>1</v>
      </c>
      <c r="T51" s="21"/>
      <c r="U51" s="21"/>
      <c r="V51" s="21">
        <v>1</v>
      </c>
      <c r="W51" s="29">
        <v>1</v>
      </c>
    </row>
    <row r="52" spans="1:23" s="20" customFormat="1" ht="120" customHeight="1" x14ac:dyDescent="0.25">
      <c r="A52" s="17">
        <v>6</v>
      </c>
      <c r="B52" s="17">
        <v>67</v>
      </c>
      <c r="C52" s="74">
        <v>310</v>
      </c>
      <c r="D52" s="193"/>
      <c r="E52" s="192"/>
      <c r="F52" s="192"/>
      <c r="G52" s="199"/>
      <c r="H52" s="198"/>
      <c r="I52" s="199"/>
      <c r="J52" s="192"/>
      <c r="K52" s="69" t="s">
        <v>328</v>
      </c>
      <c r="L52" s="66" t="s">
        <v>329</v>
      </c>
      <c r="M52" s="66" t="s">
        <v>260</v>
      </c>
      <c r="N52" s="85">
        <v>3200000</v>
      </c>
      <c r="O52" s="85">
        <f>+Q52-P52</f>
        <v>0</v>
      </c>
      <c r="P52" s="54">
        <v>800000</v>
      </c>
      <c r="Q52" s="54">
        <v>800000</v>
      </c>
      <c r="R52" s="68" t="s">
        <v>165</v>
      </c>
      <c r="S52" s="99">
        <v>800000</v>
      </c>
      <c r="T52" s="26"/>
      <c r="U52" s="26"/>
      <c r="V52" s="26">
        <v>800000</v>
      </c>
      <c r="W52" s="31">
        <v>800000</v>
      </c>
    </row>
    <row r="53" spans="1:23" s="20" customFormat="1" ht="120" customHeight="1" x14ac:dyDescent="0.25">
      <c r="A53" s="17">
        <v>6</v>
      </c>
      <c r="B53" s="17">
        <v>63</v>
      </c>
      <c r="C53" s="74">
        <v>265</v>
      </c>
      <c r="D53" s="193"/>
      <c r="E53" s="192"/>
      <c r="F53" s="192"/>
      <c r="G53" s="192">
        <v>4</v>
      </c>
      <c r="H53" s="198" t="s">
        <v>91</v>
      </c>
      <c r="I53" s="192">
        <v>4</v>
      </c>
      <c r="J53" s="192" t="s">
        <v>294</v>
      </c>
      <c r="K53" s="69" t="s">
        <v>330</v>
      </c>
      <c r="L53" s="66" t="s">
        <v>294</v>
      </c>
      <c r="M53" s="66">
        <v>53</v>
      </c>
      <c r="N53" s="84">
        <v>65</v>
      </c>
      <c r="O53" s="84">
        <f>+Q53-P53</f>
        <v>0</v>
      </c>
      <c r="P53" s="66">
        <v>55</v>
      </c>
      <c r="Q53" s="66">
        <v>55</v>
      </c>
      <c r="R53" s="68" t="s">
        <v>178</v>
      </c>
      <c r="S53" s="93">
        <v>58</v>
      </c>
      <c r="T53" s="18"/>
      <c r="U53" s="18"/>
      <c r="V53" s="18">
        <v>62</v>
      </c>
      <c r="W53" s="19">
        <v>65</v>
      </c>
    </row>
    <row r="54" spans="1:23" s="20" customFormat="1" ht="120" customHeight="1" x14ac:dyDescent="0.25">
      <c r="A54" s="17">
        <v>6</v>
      </c>
      <c r="B54" s="17">
        <v>63</v>
      </c>
      <c r="C54" s="74">
        <v>266</v>
      </c>
      <c r="D54" s="193"/>
      <c r="E54" s="192"/>
      <c r="F54" s="192"/>
      <c r="G54" s="192"/>
      <c r="H54" s="198"/>
      <c r="I54" s="192"/>
      <c r="J54" s="192"/>
      <c r="K54" s="69" t="s">
        <v>331</v>
      </c>
      <c r="L54" s="66" t="s">
        <v>294</v>
      </c>
      <c r="M54" s="66">
        <v>61</v>
      </c>
      <c r="N54" s="84">
        <v>73</v>
      </c>
      <c r="O54" s="84">
        <f>+Q54-P54</f>
        <v>0</v>
      </c>
      <c r="P54" s="66">
        <v>67</v>
      </c>
      <c r="Q54" s="66">
        <v>67</v>
      </c>
      <c r="R54" s="68" t="s">
        <v>179</v>
      </c>
      <c r="S54" s="93">
        <v>70</v>
      </c>
      <c r="T54" s="18"/>
      <c r="U54" s="18"/>
      <c r="V54" s="18">
        <v>71</v>
      </c>
      <c r="W54" s="19">
        <v>73</v>
      </c>
    </row>
    <row r="55" spans="1:23" s="20" customFormat="1" ht="120" customHeight="1" x14ac:dyDescent="0.25">
      <c r="A55" s="17">
        <v>6</v>
      </c>
      <c r="B55" s="17">
        <v>64</v>
      </c>
      <c r="C55" s="74">
        <v>267</v>
      </c>
      <c r="D55" s="193"/>
      <c r="E55" s="192"/>
      <c r="F55" s="192"/>
      <c r="G55" s="66">
        <v>5</v>
      </c>
      <c r="H55" s="69" t="s">
        <v>332</v>
      </c>
      <c r="I55" s="66">
        <v>5</v>
      </c>
      <c r="J55" s="66" t="s">
        <v>316</v>
      </c>
      <c r="K55" s="69" t="s">
        <v>49</v>
      </c>
      <c r="L55" s="66" t="s">
        <v>316</v>
      </c>
      <c r="M55" s="66" t="s">
        <v>317</v>
      </c>
      <c r="N55" s="84">
        <v>48</v>
      </c>
      <c r="O55" s="84">
        <f>+Q55-P55</f>
        <v>0</v>
      </c>
      <c r="P55" s="57">
        <v>12</v>
      </c>
      <c r="Q55" s="57">
        <v>12</v>
      </c>
      <c r="R55" s="68" t="s">
        <v>228</v>
      </c>
      <c r="S55" s="101">
        <v>24</v>
      </c>
      <c r="T55" s="34"/>
      <c r="U55" s="34"/>
      <c r="V55" s="34">
        <v>36</v>
      </c>
      <c r="W55" s="35">
        <v>48</v>
      </c>
    </row>
    <row r="56" spans="1:23" s="20" customFormat="1" ht="120" customHeight="1" x14ac:dyDescent="0.25">
      <c r="A56" s="17">
        <v>7</v>
      </c>
      <c r="B56" s="17">
        <v>65</v>
      </c>
      <c r="C56" s="74">
        <v>268</v>
      </c>
      <c r="D56" s="193">
        <v>7</v>
      </c>
      <c r="E56" s="192" t="s">
        <v>333</v>
      </c>
      <c r="F56" s="192" t="s">
        <v>334</v>
      </c>
      <c r="G56" s="192">
        <v>1</v>
      </c>
      <c r="H56" s="198" t="s">
        <v>335</v>
      </c>
      <c r="I56" s="192">
        <v>1</v>
      </c>
      <c r="J56" s="192" t="s">
        <v>336</v>
      </c>
      <c r="K56" s="69" t="s">
        <v>337</v>
      </c>
      <c r="L56" s="66" t="s">
        <v>338</v>
      </c>
      <c r="M56" s="54">
        <v>2050</v>
      </c>
      <c r="N56" s="85">
        <v>11964</v>
      </c>
      <c r="O56" s="85">
        <f>+Q56-P56</f>
        <v>0</v>
      </c>
      <c r="P56" s="54">
        <v>4350</v>
      </c>
      <c r="Q56" s="54">
        <v>4350</v>
      </c>
      <c r="R56" s="68" t="s">
        <v>204</v>
      </c>
      <c r="S56" s="99">
        <v>6765</v>
      </c>
      <c r="T56" s="26"/>
      <c r="U56" s="26"/>
      <c r="V56" s="26">
        <v>9301</v>
      </c>
      <c r="W56" s="31">
        <v>11964</v>
      </c>
    </row>
    <row r="57" spans="1:23" s="20" customFormat="1" ht="120" customHeight="1" x14ac:dyDescent="0.25">
      <c r="A57" s="17">
        <v>7</v>
      </c>
      <c r="B57" s="17">
        <v>65</v>
      </c>
      <c r="C57" s="74">
        <v>269</v>
      </c>
      <c r="D57" s="193"/>
      <c r="E57" s="192"/>
      <c r="F57" s="192"/>
      <c r="G57" s="192"/>
      <c r="H57" s="198"/>
      <c r="I57" s="192"/>
      <c r="J57" s="192"/>
      <c r="K57" s="69" t="s">
        <v>339</v>
      </c>
      <c r="L57" s="66" t="s">
        <v>340</v>
      </c>
      <c r="M57" s="54" t="s">
        <v>260</v>
      </c>
      <c r="N57" s="83">
        <v>0.2</v>
      </c>
      <c r="O57" s="83" t="s">
        <v>259</v>
      </c>
      <c r="P57" s="52">
        <v>0.2</v>
      </c>
      <c r="Q57" s="52">
        <v>0.2</v>
      </c>
      <c r="R57" s="68" t="s">
        <v>161</v>
      </c>
      <c r="S57" s="94">
        <v>0.2</v>
      </c>
      <c r="T57" s="22"/>
      <c r="U57" s="22"/>
      <c r="V57" s="22">
        <v>0.2</v>
      </c>
      <c r="W57" s="23">
        <v>0.2</v>
      </c>
    </row>
    <row r="58" spans="1:23" s="20" customFormat="1" ht="120" customHeight="1" x14ac:dyDescent="0.25">
      <c r="A58" s="17">
        <v>7</v>
      </c>
      <c r="B58" s="17">
        <v>65</v>
      </c>
      <c r="C58" s="74">
        <v>270</v>
      </c>
      <c r="D58" s="193"/>
      <c r="E58" s="192"/>
      <c r="F58" s="192"/>
      <c r="G58" s="192"/>
      <c r="H58" s="198"/>
      <c r="I58" s="192"/>
      <c r="J58" s="192"/>
      <c r="K58" s="69" t="s">
        <v>52</v>
      </c>
      <c r="L58" s="66" t="s">
        <v>341</v>
      </c>
      <c r="M58" s="66">
        <v>871</v>
      </c>
      <c r="N58" s="85">
        <v>5500</v>
      </c>
      <c r="O58" s="85">
        <f>+Q58-P58</f>
        <v>-144</v>
      </c>
      <c r="P58" s="54">
        <v>1945</v>
      </c>
      <c r="Q58" s="54">
        <v>1801</v>
      </c>
      <c r="R58" s="68" t="s">
        <v>222</v>
      </c>
      <c r="S58" s="99">
        <v>3073</v>
      </c>
      <c r="T58" s="26"/>
      <c r="U58" s="26"/>
      <c r="V58" s="26">
        <v>4257</v>
      </c>
      <c r="W58" s="31">
        <v>5500</v>
      </c>
    </row>
    <row r="59" spans="1:23" s="20" customFormat="1" ht="120" customHeight="1" x14ac:dyDescent="0.25">
      <c r="A59" s="17">
        <v>7</v>
      </c>
      <c r="B59" s="17">
        <v>65</v>
      </c>
      <c r="C59" s="74">
        <v>271</v>
      </c>
      <c r="D59" s="193"/>
      <c r="E59" s="192"/>
      <c r="F59" s="192"/>
      <c r="G59" s="192"/>
      <c r="H59" s="198"/>
      <c r="I59" s="192"/>
      <c r="J59" s="192"/>
      <c r="K59" s="69" t="s">
        <v>342</v>
      </c>
      <c r="L59" s="66" t="s">
        <v>343</v>
      </c>
      <c r="M59" s="66" t="s">
        <v>279</v>
      </c>
      <c r="N59" s="82">
        <v>100</v>
      </c>
      <c r="O59" s="82" t="s">
        <v>259</v>
      </c>
      <c r="P59" s="51">
        <v>100</v>
      </c>
      <c r="Q59" s="51">
        <v>102</v>
      </c>
      <c r="R59" s="68" t="s">
        <v>223</v>
      </c>
      <c r="S59" s="82">
        <v>100</v>
      </c>
      <c r="T59" s="51"/>
      <c r="U59" s="51"/>
      <c r="V59" s="51">
        <v>100</v>
      </c>
      <c r="W59" s="65">
        <v>100</v>
      </c>
    </row>
    <row r="60" spans="1:23" s="20" customFormat="1" ht="120" customHeight="1" x14ac:dyDescent="0.25">
      <c r="A60" s="17">
        <v>7</v>
      </c>
      <c r="B60" s="17">
        <v>66</v>
      </c>
      <c r="C60" s="74">
        <v>272</v>
      </c>
      <c r="D60" s="193"/>
      <c r="E60" s="192"/>
      <c r="F60" s="192"/>
      <c r="G60" s="192">
        <v>2</v>
      </c>
      <c r="H60" s="198" t="s">
        <v>53</v>
      </c>
      <c r="I60" s="192">
        <v>2</v>
      </c>
      <c r="J60" s="192" t="s">
        <v>281</v>
      </c>
      <c r="K60" s="69" t="s">
        <v>54</v>
      </c>
      <c r="L60" s="66" t="s">
        <v>264</v>
      </c>
      <c r="M60" s="66" t="s">
        <v>259</v>
      </c>
      <c r="N60" s="84">
        <v>1</v>
      </c>
      <c r="O60" s="84">
        <f t="shared" ref="O60:O65" si="2">+Q60-P60</f>
        <v>0</v>
      </c>
      <c r="P60" s="66">
        <v>1</v>
      </c>
      <c r="Q60" s="66">
        <v>1</v>
      </c>
      <c r="R60" s="68" t="s">
        <v>167</v>
      </c>
      <c r="S60" s="93" t="s">
        <v>260</v>
      </c>
      <c r="T60" s="18"/>
      <c r="U60" s="18"/>
      <c r="V60" s="18" t="s">
        <v>260</v>
      </c>
      <c r="W60" s="19" t="s">
        <v>260</v>
      </c>
    </row>
    <row r="61" spans="1:23" s="20" customFormat="1" ht="120" customHeight="1" x14ac:dyDescent="0.25">
      <c r="A61" s="17">
        <v>7</v>
      </c>
      <c r="B61" s="17">
        <v>66</v>
      </c>
      <c r="C61" s="74">
        <v>273</v>
      </c>
      <c r="D61" s="193"/>
      <c r="E61" s="192"/>
      <c r="F61" s="192"/>
      <c r="G61" s="192"/>
      <c r="H61" s="198"/>
      <c r="I61" s="192"/>
      <c r="J61" s="192"/>
      <c r="K61" s="69" t="s">
        <v>55</v>
      </c>
      <c r="L61" s="66" t="s">
        <v>264</v>
      </c>
      <c r="M61" s="66" t="s">
        <v>259</v>
      </c>
      <c r="N61" s="87">
        <v>4</v>
      </c>
      <c r="O61" s="87">
        <f t="shared" si="2"/>
        <v>0</v>
      </c>
      <c r="P61" s="58">
        <v>1</v>
      </c>
      <c r="Q61" s="58">
        <v>1</v>
      </c>
      <c r="R61" s="68" t="s">
        <v>181</v>
      </c>
      <c r="S61" s="102">
        <v>2</v>
      </c>
      <c r="T61" s="36"/>
      <c r="U61" s="36"/>
      <c r="V61" s="36">
        <v>3</v>
      </c>
      <c r="W61" s="37">
        <v>4</v>
      </c>
    </row>
    <row r="62" spans="1:23" s="20" customFormat="1" ht="120" customHeight="1" x14ac:dyDescent="0.25">
      <c r="A62" s="17">
        <v>7</v>
      </c>
      <c r="B62" s="17">
        <v>66</v>
      </c>
      <c r="C62" s="74">
        <v>274</v>
      </c>
      <c r="D62" s="193"/>
      <c r="E62" s="192"/>
      <c r="F62" s="192"/>
      <c r="G62" s="192"/>
      <c r="H62" s="198"/>
      <c r="I62" s="192"/>
      <c r="J62" s="192"/>
      <c r="K62" s="69" t="s">
        <v>344</v>
      </c>
      <c r="L62" s="66" t="s">
        <v>307</v>
      </c>
      <c r="M62" s="70" t="s">
        <v>260</v>
      </c>
      <c r="N62" s="88">
        <v>400</v>
      </c>
      <c r="O62" s="88">
        <f t="shared" si="2"/>
        <v>0</v>
      </c>
      <c r="P62" s="58">
        <v>60</v>
      </c>
      <c r="Q62" s="58">
        <v>60</v>
      </c>
      <c r="R62" s="68" t="s">
        <v>205</v>
      </c>
      <c r="S62" s="102">
        <v>180</v>
      </c>
      <c r="T62" s="36"/>
      <c r="U62" s="36"/>
      <c r="V62" s="36">
        <v>330</v>
      </c>
      <c r="W62" s="37">
        <v>400</v>
      </c>
    </row>
    <row r="63" spans="1:23" s="20" customFormat="1" ht="120" customHeight="1" x14ac:dyDescent="0.25">
      <c r="A63" s="17">
        <v>7</v>
      </c>
      <c r="B63" s="17">
        <v>66</v>
      </c>
      <c r="C63" s="74">
        <v>306</v>
      </c>
      <c r="D63" s="193"/>
      <c r="E63" s="192"/>
      <c r="F63" s="192"/>
      <c r="G63" s="192"/>
      <c r="H63" s="198"/>
      <c r="I63" s="192"/>
      <c r="J63" s="192"/>
      <c r="K63" s="59" t="s">
        <v>345</v>
      </c>
      <c r="L63" s="66" t="s">
        <v>307</v>
      </c>
      <c r="M63" s="66" t="s">
        <v>260</v>
      </c>
      <c r="N63" s="87">
        <v>300</v>
      </c>
      <c r="O63" s="87">
        <f t="shared" si="2"/>
        <v>323</v>
      </c>
      <c r="P63" s="58">
        <v>50</v>
      </c>
      <c r="Q63" s="58">
        <v>373</v>
      </c>
      <c r="R63" s="68" t="s">
        <v>235</v>
      </c>
      <c r="S63" s="102">
        <v>120</v>
      </c>
      <c r="T63" s="36"/>
      <c r="U63" s="36"/>
      <c r="V63" s="36">
        <v>250</v>
      </c>
      <c r="W63" s="37">
        <v>300</v>
      </c>
    </row>
    <row r="64" spans="1:23" s="20" customFormat="1" ht="120" customHeight="1" x14ac:dyDescent="0.25">
      <c r="A64" s="17">
        <v>7</v>
      </c>
      <c r="B64" s="17">
        <v>68</v>
      </c>
      <c r="C64" s="74">
        <v>275</v>
      </c>
      <c r="D64" s="193"/>
      <c r="E64" s="192"/>
      <c r="F64" s="192"/>
      <c r="G64" s="192">
        <v>3</v>
      </c>
      <c r="H64" s="198" t="s">
        <v>346</v>
      </c>
      <c r="I64" s="192">
        <v>3</v>
      </c>
      <c r="J64" s="192" t="s">
        <v>347</v>
      </c>
      <c r="K64" s="69" t="s">
        <v>348</v>
      </c>
      <c r="L64" s="66" t="s">
        <v>285</v>
      </c>
      <c r="M64" s="66" t="s">
        <v>259</v>
      </c>
      <c r="N64" s="84">
        <v>600</v>
      </c>
      <c r="O64" s="84">
        <f t="shared" si="2"/>
        <v>0</v>
      </c>
      <c r="P64" s="66">
        <v>150</v>
      </c>
      <c r="Q64" s="66">
        <v>150</v>
      </c>
      <c r="R64" s="68" t="s">
        <v>187</v>
      </c>
      <c r="S64" s="93">
        <v>300</v>
      </c>
      <c r="T64" s="18"/>
      <c r="U64" s="18"/>
      <c r="V64" s="18">
        <v>450</v>
      </c>
      <c r="W64" s="19">
        <v>600</v>
      </c>
    </row>
    <row r="65" spans="1:23" s="20" customFormat="1" ht="120" customHeight="1" x14ac:dyDescent="0.25">
      <c r="A65" s="17">
        <v>7</v>
      </c>
      <c r="B65" s="17">
        <v>68</v>
      </c>
      <c r="C65" s="74">
        <v>276</v>
      </c>
      <c r="D65" s="193"/>
      <c r="E65" s="192"/>
      <c r="F65" s="192"/>
      <c r="G65" s="192"/>
      <c r="H65" s="198"/>
      <c r="I65" s="192"/>
      <c r="J65" s="192"/>
      <c r="K65" s="69" t="s">
        <v>349</v>
      </c>
      <c r="L65" s="66" t="s">
        <v>316</v>
      </c>
      <c r="M65" s="66" t="s">
        <v>259</v>
      </c>
      <c r="N65" s="84">
        <v>32</v>
      </c>
      <c r="O65" s="84">
        <f t="shared" si="2"/>
        <v>0</v>
      </c>
      <c r="P65" s="66">
        <v>8</v>
      </c>
      <c r="Q65" s="66">
        <v>8</v>
      </c>
      <c r="R65" s="68" t="s">
        <v>229</v>
      </c>
      <c r="S65" s="93">
        <v>17</v>
      </c>
      <c r="T65" s="18"/>
      <c r="U65" s="18"/>
      <c r="V65" s="18">
        <v>26</v>
      </c>
      <c r="W65" s="19">
        <v>32</v>
      </c>
    </row>
    <row r="66" spans="1:23" s="20" customFormat="1" ht="120" customHeight="1" x14ac:dyDescent="0.25">
      <c r="A66" s="17">
        <v>8</v>
      </c>
      <c r="B66" s="17">
        <v>69</v>
      </c>
      <c r="C66" s="74">
        <v>277</v>
      </c>
      <c r="D66" s="193">
        <v>8</v>
      </c>
      <c r="E66" s="192" t="s">
        <v>350</v>
      </c>
      <c r="F66" s="196" t="s">
        <v>351</v>
      </c>
      <c r="G66" s="192">
        <v>1</v>
      </c>
      <c r="H66" s="198" t="s">
        <v>58</v>
      </c>
      <c r="I66" s="192">
        <v>1</v>
      </c>
      <c r="J66" s="192" t="s">
        <v>352</v>
      </c>
      <c r="K66" s="69" t="s">
        <v>59</v>
      </c>
      <c r="L66" s="66" t="s">
        <v>353</v>
      </c>
      <c r="M66" s="60">
        <v>0.90600000000000003</v>
      </c>
      <c r="N66" s="89">
        <v>0.91500000000000004</v>
      </c>
      <c r="O66" s="89" t="s">
        <v>259</v>
      </c>
      <c r="P66" s="61">
        <v>0.90800000000000003</v>
      </c>
      <c r="Q66" s="61">
        <v>0.96</v>
      </c>
      <c r="R66" s="68" t="s">
        <v>182</v>
      </c>
      <c r="S66" s="103">
        <v>0.91</v>
      </c>
      <c r="T66" s="38"/>
      <c r="U66" s="38"/>
      <c r="V66" s="38">
        <v>0.91300000000000003</v>
      </c>
      <c r="W66" s="39">
        <v>0.91500000000000004</v>
      </c>
    </row>
    <row r="67" spans="1:23" s="20" customFormat="1" ht="120" customHeight="1" x14ac:dyDescent="0.25">
      <c r="A67" s="17">
        <v>8</v>
      </c>
      <c r="B67" s="17">
        <v>69</v>
      </c>
      <c r="C67" s="74">
        <v>278</v>
      </c>
      <c r="D67" s="193"/>
      <c r="E67" s="192"/>
      <c r="F67" s="196"/>
      <c r="G67" s="192"/>
      <c r="H67" s="198"/>
      <c r="I67" s="192"/>
      <c r="J67" s="192"/>
      <c r="K67" s="68" t="s">
        <v>354</v>
      </c>
      <c r="L67" s="66" t="s">
        <v>60</v>
      </c>
      <c r="M67" s="66" t="s">
        <v>279</v>
      </c>
      <c r="N67" s="81">
        <v>1</v>
      </c>
      <c r="O67" s="81" t="s">
        <v>259</v>
      </c>
      <c r="P67" s="49">
        <v>1</v>
      </c>
      <c r="Q67" s="49">
        <v>1</v>
      </c>
      <c r="R67" s="68" t="s">
        <v>183</v>
      </c>
      <c r="S67" s="97">
        <v>1</v>
      </c>
      <c r="T67" s="21"/>
      <c r="U67" s="21"/>
      <c r="V67" s="21">
        <v>1</v>
      </c>
      <c r="W67" s="29">
        <v>1</v>
      </c>
    </row>
    <row r="68" spans="1:23" s="20" customFormat="1" ht="120" customHeight="1" x14ac:dyDescent="0.25">
      <c r="A68" s="17">
        <v>8</v>
      </c>
      <c r="B68" s="17">
        <v>69</v>
      </c>
      <c r="C68" s="74">
        <v>279</v>
      </c>
      <c r="D68" s="193"/>
      <c r="E68" s="192"/>
      <c r="F68" s="196"/>
      <c r="G68" s="192"/>
      <c r="H68" s="198"/>
      <c r="I68" s="192"/>
      <c r="J68" s="192"/>
      <c r="K68" s="69" t="s">
        <v>61</v>
      </c>
      <c r="L68" s="66" t="s">
        <v>351</v>
      </c>
      <c r="M68" s="49">
        <v>0.1</v>
      </c>
      <c r="N68" s="81">
        <v>0.1</v>
      </c>
      <c r="O68" s="81" t="s">
        <v>259</v>
      </c>
      <c r="P68" s="49">
        <v>0.1</v>
      </c>
      <c r="Q68" s="49">
        <v>0.09</v>
      </c>
      <c r="R68" s="68" t="s">
        <v>158</v>
      </c>
      <c r="S68" s="97">
        <v>0.1</v>
      </c>
      <c r="T68" s="21"/>
      <c r="U68" s="21"/>
      <c r="V68" s="21">
        <v>0.1</v>
      </c>
      <c r="W68" s="29">
        <v>0.1</v>
      </c>
    </row>
    <row r="69" spans="1:23" s="20" customFormat="1" ht="120" customHeight="1" x14ac:dyDescent="0.25">
      <c r="A69" s="17">
        <v>8</v>
      </c>
      <c r="B69" s="17">
        <v>70</v>
      </c>
      <c r="C69" s="74">
        <v>283</v>
      </c>
      <c r="D69" s="193"/>
      <c r="E69" s="192"/>
      <c r="F69" s="196"/>
      <c r="G69" s="66">
        <v>2</v>
      </c>
      <c r="H69" s="69" t="s">
        <v>62</v>
      </c>
      <c r="I69" s="66">
        <v>2</v>
      </c>
      <c r="J69" s="66" t="s">
        <v>60</v>
      </c>
      <c r="K69" s="69" t="s">
        <v>355</v>
      </c>
      <c r="L69" s="66" t="s">
        <v>60</v>
      </c>
      <c r="M69" s="52" t="s">
        <v>259</v>
      </c>
      <c r="N69" s="81">
        <v>1</v>
      </c>
      <c r="O69" s="81">
        <v>0</v>
      </c>
      <c r="P69" s="49">
        <v>0.43</v>
      </c>
      <c r="Q69" s="49">
        <v>0.43</v>
      </c>
      <c r="R69" s="68" t="s">
        <v>208</v>
      </c>
      <c r="S69" s="97">
        <v>0.6</v>
      </c>
      <c r="T69" s="21"/>
      <c r="U69" s="21"/>
      <c r="V69" s="21">
        <v>0.8</v>
      </c>
      <c r="W69" s="29">
        <v>1</v>
      </c>
    </row>
    <row r="70" spans="1:23" s="20" customFormat="1" ht="120" customHeight="1" x14ac:dyDescent="0.25">
      <c r="A70" s="17">
        <v>8</v>
      </c>
      <c r="B70" s="17">
        <v>71</v>
      </c>
      <c r="C70" s="74">
        <v>281</v>
      </c>
      <c r="D70" s="193"/>
      <c r="E70" s="192"/>
      <c r="F70" s="196"/>
      <c r="G70" s="66">
        <v>3</v>
      </c>
      <c r="H70" s="69" t="s">
        <v>63</v>
      </c>
      <c r="I70" s="66">
        <v>3</v>
      </c>
      <c r="J70" s="66" t="s">
        <v>60</v>
      </c>
      <c r="K70" s="69" t="s">
        <v>356</v>
      </c>
      <c r="L70" s="66" t="s">
        <v>60</v>
      </c>
      <c r="M70" s="66" t="s">
        <v>317</v>
      </c>
      <c r="N70" s="81">
        <v>1</v>
      </c>
      <c r="O70" s="81">
        <f>+Q70-P70</f>
        <v>0</v>
      </c>
      <c r="P70" s="49">
        <v>0.6</v>
      </c>
      <c r="Q70" s="49">
        <v>0.6</v>
      </c>
      <c r="R70" s="68" t="s">
        <v>207</v>
      </c>
      <c r="S70" s="97">
        <v>0.75</v>
      </c>
      <c r="T70" s="21"/>
      <c r="U70" s="21"/>
      <c r="V70" s="21">
        <v>0.9</v>
      </c>
      <c r="W70" s="29">
        <v>1</v>
      </c>
    </row>
    <row r="71" spans="1:23" s="20" customFormat="1" ht="120" customHeight="1" x14ac:dyDescent="0.25">
      <c r="A71" s="17">
        <v>8</v>
      </c>
      <c r="B71" s="17">
        <v>72</v>
      </c>
      <c r="C71" s="74">
        <v>282</v>
      </c>
      <c r="D71" s="193"/>
      <c r="E71" s="192"/>
      <c r="F71" s="196"/>
      <c r="G71" s="66">
        <v>4</v>
      </c>
      <c r="H71" s="69" t="s">
        <v>357</v>
      </c>
      <c r="I71" s="66">
        <v>4</v>
      </c>
      <c r="J71" s="66" t="s">
        <v>66</v>
      </c>
      <c r="K71" s="69" t="s">
        <v>67</v>
      </c>
      <c r="L71" s="66" t="s">
        <v>66</v>
      </c>
      <c r="M71" s="66" t="s">
        <v>279</v>
      </c>
      <c r="N71" s="81">
        <v>1</v>
      </c>
      <c r="O71" s="81" t="s">
        <v>259</v>
      </c>
      <c r="P71" s="49">
        <v>1</v>
      </c>
      <c r="Q71" s="49">
        <v>0.99</v>
      </c>
      <c r="R71" s="68" t="s">
        <v>206</v>
      </c>
      <c r="S71" s="97">
        <v>1</v>
      </c>
      <c r="T71" s="21"/>
      <c r="U71" s="21"/>
      <c r="V71" s="21">
        <v>1</v>
      </c>
      <c r="W71" s="29">
        <v>1</v>
      </c>
    </row>
    <row r="72" spans="1:23" s="20" customFormat="1" ht="120" customHeight="1" x14ac:dyDescent="0.25">
      <c r="A72" s="17">
        <v>8</v>
      </c>
      <c r="B72" s="17">
        <v>73</v>
      </c>
      <c r="C72" s="74">
        <v>280</v>
      </c>
      <c r="D72" s="193"/>
      <c r="E72" s="192"/>
      <c r="F72" s="196"/>
      <c r="G72" s="66">
        <v>5</v>
      </c>
      <c r="H72" s="69" t="s">
        <v>68</v>
      </c>
      <c r="I72" s="66">
        <v>5</v>
      </c>
      <c r="J72" s="66" t="s">
        <v>358</v>
      </c>
      <c r="K72" s="69" t="s">
        <v>359</v>
      </c>
      <c r="L72" s="68" t="s">
        <v>360</v>
      </c>
      <c r="M72" s="66" t="s">
        <v>259</v>
      </c>
      <c r="N72" s="90">
        <v>1</v>
      </c>
      <c r="O72" s="90" t="s">
        <v>259</v>
      </c>
      <c r="P72" s="50">
        <v>1</v>
      </c>
      <c r="Q72" s="50">
        <v>1</v>
      </c>
      <c r="R72" s="68" t="s">
        <v>209</v>
      </c>
      <c r="S72" s="90">
        <v>1</v>
      </c>
      <c r="T72" s="50"/>
      <c r="U72" s="50"/>
      <c r="V72" s="50">
        <v>1</v>
      </c>
      <c r="W72" s="62">
        <v>1</v>
      </c>
    </row>
    <row r="73" spans="1:23" s="20" customFormat="1" ht="120" customHeight="1" x14ac:dyDescent="0.25">
      <c r="A73" s="17">
        <v>8</v>
      </c>
      <c r="B73" s="17">
        <v>74</v>
      </c>
      <c r="C73" s="74">
        <v>284</v>
      </c>
      <c r="D73" s="193"/>
      <c r="E73" s="192"/>
      <c r="F73" s="196"/>
      <c r="G73" s="192">
        <v>6</v>
      </c>
      <c r="H73" s="198" t="s">
        <v>69</v>
      </c>
      <c r="I73" s="192">
        <v>6</v>
      </c>
      <c r="J73" s="192" t="s">
        <v>361</v>
      </c>
      <c r="K73" s="69" t="s">
        <v>362</v>
      </c>
      <c r="L73" s="66" t="s">
        <v>361</v>
      </c>
      <c r="M73" s="66" t="s">
        <v>322</v>
      </c>
      <c r="N73" s="81">
        <v>0.9</v>
      </c>
      <c r="O73" s="81" t="s">
        <v>259</v>
      </c>
      <c r="P73" s="49">
        <v>0.9</v>
      </c>
      <c r="Q73" s="49">
        <v>0.94</v>
      </c>
      <c r="R73" s="68" t="s">
        <v>216</v>
      </c>
      <c r="S73" s="97">
        <v>0.9</v>
      </c>
      <c r="T73" s="21"/>
      <c r="U73" s="21"/>
      <c r="V73" s="21">
        <v>0.9</v>
      </c>
      <c r="W73" s="29">
        <v>0.9</v>
      </c>
    </row>
    <row r="74" spans="1:23" s="20" customFormat="1" ht="120" customHeight="1" x14ac:dyDescent="0.25">
      <c r="A74" s="17">
        <v>8</v>
      </c>
      <c r="B74" s="17">
        <v>74</v>
      </c>
      <c r="C74" s="74">
        <v>285</v>
      </c>
      <c r="D74" s="193"/>
      <c r="E74" s="192"/>
      <c r="F74" s="196"/>
      <c r="G74" s="192"/>
      <c r="H74" s="198"/>
      <c r="I74" s="192"/>
      <c r="J74" s="192"/>
      <c r="K74" s="69" t="s">
        <v>70</v>
      </c>
      <c r="L74" s="66" t="s">
        <v>361</v>
      </c>
      <c r="M74" s="66" t="s">
        <v>260</v>
      </c>
      <c r="N74" s="81">
        <v>0.8</v>
      </c>
      <c r="O74" s="81" t="s">
        <v>259</v>
      </c>
      <c r="P74" s="52">
        <v>0.8</v>
      </c>
      <c r="Q74" s="52">
        <v>0.94</v>
      </c>
      <c r="R74" s="68" t="s">
        <v>217</v>
      </c>
      <c r="S74" s="94">
        <v>0.8</v>
      </c>
      <c r="T74" s="22"/>
      <c r="U74" s="22"/>
      <c r="V74" s="22">
        <v>0.8</v>
      </c>
      <c r="W74" s="23">
        <v>0.8</v>
      </c>
    </row>
    <row r="75" spans="1:23" s="20" customFormat="1" ht="120" customHeight="1" x14ac:dyDescent="0.25">
      <c r="A75" s="17">
        <v>8</v>
      </c>
      <c r="B75" s="17">
        <v>75</v>
      </c>
      <c r="C75" s="74">
        <v>286</v>
      </c>
      <c r="D75" s="193"/>
      <c r="E75" s="192"/>
      <c r="F75" s="196"/>
      <c r="G75" s="66">
        <v>7</v>
      </c>
      <c r="H75" s="69" t="s">
        <v>363</v>
      </c>
      <c r="I75" s="66">
        <v>7</v>
      </c>
      <c r="J75" s="66" t="s">
        <v>364</v>
      </c>
      <c r="K75" s="69" t="s">
        <v>71</v>
      </c>
      <c r="L75" s="68" t="s">
        <v>365</v>
      </c>
      <c r="M75" s="49">
        <v>0.9</v>
      </c>
      <c r="N75" s="81">
        <v>0.96</v>
      </c>
      <c r="O75" s="81" t="s">
        <v>259</v>
      </c>
      <c r="P75" s="66">
        <v>91</v>
      </c>
      <c r="Q75" s="66">
        <v>91</v>
      </c>
      <c r="R75" s="68" t="s">
        <v>101</v>
      </c>
      <c r="S75" s="93">
        <v>92</v>
      </c>
      <c r="T75" s="18"/>
      <c r="U75" s="18"/>
      <c r="V75" s="18">
        <v>94</v>
      </c>
      <c r="W75" s="19">
        <v>96</v>
      </c>
    </row>
    <row r="76" spans="1:23" s="20" customFormat="1" ht="120" customHeight="1" x14ac:dyDescent="0.25">
      <c r="A76" s="17">
        <v>8</v>
      </c>
      <c r="B76" s="17">
        <v>76</v>
      </c>
      <c r="C76" s="74">
        <v>287</v>
      </c>
      <c r="D76" s="193"/>
      <c r="E76" s="192"/>
      <c r="F76" s="196"/>
      <c r="G76" s="66">
        <v>8</v>
      </c>
      <c r="H76" s="69" t="s">
        <v>72</v>
      </c>
      <c r="I76" s="66">
        <v>8</v>
      </c>
      <c r="J76" s="66" t="s">
        <v>366</v>
      </c>
      <c r="K76" s="69" t="s">
        <v>73</v>
      </c>
      <c r="L76" s="66" t="s">
        <v>366</v>
      </c>
      <c r="M76" s="66" t="s">
        <v>260</v>
      </c>
      <c r="N76" s="84">
        <v>7</v>
      </c>
      <c r="O76" s="84">
        <f>+Q76-P76</f>
        <v>0</v>
      </c>
      <c r="P76" s="66">
        <v>2</v>
      </c>
      <c r="Q76" s="66">
        <v>2</v>
      </c>
      <c r="R76" s="68" t="s">
        <v>218</v>
      </c>
      <c r="S76" s="93">
        <v>4</v>
      </c>
      <c r="T76" s="18"/>
      <c r="U76" s="18"/>
      <c r="V76" s="18">
        <v>6</v>
      </c>
      <c r="W76" s="19">
        <v>7</v>
      </c>
    </row>
    <row r="77" spans="1:23" s="20" customFormat="1" ht="120" customHeight="1" thickBot="1" x14ac:dyDescent="0.3">
      <c r="A77" s="17">
        <v>8</v>
      </c>
      <c r="B77" s="17">
        <v>77</v>
      </c>
      <c r="C77" s="74">
        <v>288</v>
      </c>
      <c r="D77" s="194"/>
      <c r="E77" s="195"/>
      <c r="F77" s="197"/>
      <c r="G77" s="67">
        <v>9</v>
      </c>
      <c r="H77" s="63" t="s">
        <v>74</v>
      </c>
      <c r="I77" s="67">
        <v>9</v>
      </c>
      <c r="J77" s="67" t="s">
        <v>1</v>
      </c>
      <c r="K77" s="63" t="s">
        <v>75</v>
      </c>
      <c r="L77" s="67" t="s">
        <v>1</v>
      </c>
      <c r="M77" s="64">
        <v>0.75</v>
      </c>
      <c r="N77" s="91">
        <v>0.85</v>
      </c>
      <c r="O77" s="91" t="s">
        <v>259</v>
      </c>
      <c r="P77" s="71">
        <v>0.78</v>
      </c>
      <c r="Q77" s="71">
        <v>0.89659999999999995</v>
      </c>
      <c r="R77" s="72" t="s">
        <v>211</v>
      </c>
      <c r="S77" s="104">
        <v>0.8</v>
      </c>
      <c r="T77" s="40"/>
      <c r="U77" s="40"/>
      <c r="V77" s="40">
        <v>0.83</v>
      </c>
      <c r="W77" s="41">
        <v>0.85</v>
      </c>
    </row>
    <row r="80" spans="1:23" x14ac:dyDescent="0.2">
      <c r="G80" s="45"/>
      <c r="H80" s="45"/>
      <c r="I80" s="45"/>
      <c r="J80" s="45"/>
      <c r="K80" s="45"/>
      <c r="L80" s="46"/>
    </row>
    <row r="81" spans="7:11" ht="15.75" x14ac:dyDescent="0.2">
      <c r="G81" s="191" t="s">
        <v>367</v>
      </c>
      <c r="H81" s="191"/>
      <c r="I81" s="191"/>
      <c r="J81" s="191"/>
      <c r="K81" s="191"/>
    </row>
    <row r="82" spans="7:11" x14ac:dyDescent="0.2">
      <c r="G82" s="189">
        <v>43616</v>
      </c>
      <c r="H82" s="190"/>
      <c r="I82" s="190"/>
      <c r="J82" s="190"/>
      <c r="K82" s="190"/>
    </row>
  </sheetData>
  <mergeCells count="108">
    <mergeCell ref="J22:J26"/>
    <mergeCell ref="I22:I26"/>
    <mergeCell ref="I34:I36"/>
    <mergeCell ref="G34:G36"/>
    <mergeCell ref="H34:H36"/>
    <mergeCell ref="J34:J36"/>
    <mergeCell ref="J27:J32"/>
    <mergeCell ref="I27:I32"/>
    <mergeCell ref="H27:H32"/>
    <mergeCell ref="G27:G32"/>
    <mergeCell ref="I1:W3"/>
    <mergeCell ref="D1:H3"/>
    <mergeCell ref="F40:F45"/>
    <mergeCell ref="G40:G42"/>
    <mergeCell ref="H40:H42"/>
    <mergeCell ref="D46:D55"/>
    <mergeCell ref="E46:E55"/>
    <mergeCell ref="F46:F55"/>
    <mergeCell ref="G46:G47"/>
    <mergeCell ref="H46:H47"/>
    <mergeCell ref="G53:G54"/>
    <mergeCell ref="H53:H54"/>
    <mergeCell ref="D22:D36"/>
    <mergeCell ref="E22:E36"/>
    <mergeCell ref="F22:F36"/>
    <mergeCell ref="G22:G26"/>
    <mergeCell ref="H22:H26"/>
    <mergeCell ref="D5:D12"/>
    <mergeCell ref="E5:E12"/>
    <mergeCell ref="F5:F12"/>
    <mergeCell ref="G5:G7"/>
    <mergeCell ref="H5:H7"/>
    <mergeCell ref="G8:G11"/>
    <mergeCell ref="H8:H11"/>
    <mergeCell ref="D13:D21"/>
    <mergeCell ref="E13:E21"/>
    <mergeCell ref="F13:F21"/>
    <mergeCell ref="G13:G15"/>
    <mergeCell ref="H13:H15"/>
    <mergeCell ref="J5:J7"/>
    <mergeCell ref="I5:I7"/>
    <mergeCell ref="I8:I11"/>
    <mergeCell ref="J8:J11"/>
    <mergeCell ref="J13:J15"/>
    <mergeCell ref="I13:I15"/>
    <mergeCell ref="J16:J18"/>
    <mergeCell ref="I16:I18"/>
    <mergeCell ref="I19:I20"/>
    <mergeCell ref="H16:H18"/>
    <mergeCell ref="G16:G18"/>
    <mergeCell ref="G19:G20"/>
    <mergeCell ref="H19:H20"/>
    <mergeCell ref="D37:D39"/>
    <mergeCell ref="E37:E39"/>
    <mergeCell ref="F37:F39"/>
    <mergeCell ref="G48:G50"/>
    <mergeCell ref="H48:H50"/>
    <mergeCell ref="J48:J50"/>
    <mergeCell ref="G51:G52"/>
    <mergeCell ref="H51:H52"/>
    <mergeCell ref="J51:J52"/>
    <mergeCell ref="D40:D45"/>
    <mergeCell ref="E40:E45"/>
    <mergeCell ref="J40:J42"/>
    <mergeCell ref="G43:G45"/>
    <mergeCell ref="H43:H45"/>
    <mergeCell ref="J43:J45"/>
    <mergeCell ref="I38:I39"/>
    <mergeCell ref="I40:I42"/>
    <mergeCell ref="I43:I45"/>
    <mergeCell ref="J46:J47"/>
    <mergeCell ref="I46:I47"/>
    <mergeCell ref="I48:I50"/>
    <mergeCell ref="I51:I52"/>
    <mergeCell ref="G38:G39"/>
    <mergeCell ref="H38:H39"/>
    <mergeCell ref="L46:L47"/>
    <mergeCell ref="L48:L49"/>
    <mergeCell ref="G64:G65"/>
    <mergeCell ref="I56:I59"/>
    <mergeCell ref="I60:I63"/>
    <mergeCell ref="I64:I65"/>
    <mergeCell ref="H64:H65"/>
    <mergeCell ref="D56:D65"/>
    <mergeCell ref="E56:E65"/>
    <mergeCell ref="F56:F65"/>
    <mergeCell ref="G56:G59"/>
    <mergeCell ref="H56:H59"/>
    <mergeCell ref="G60:G63"/>
    <mergeCell ref="H60:H63"/>
    <mergeCell ref="J64:J65"/>
    <mergeCell ref="J56:J59"/>
    <mergeCell ref="J60:J63"/>
    <mergeCell ref="J53:J54"/>
    <mergeCell ref="I53:I54"/>
    <mergeCell ref="G82:K82"/>
    <mergeCell ref="G81:K81"/>
    <mergeCell ref="J73:J74"/>
    <mergeCell ref="D66:D77"/>
    <mergeCell ref="E66:E77"/>
    <mergeCell ref="F66:F77"/>
    <mergeCell ref="G66:G68"/>
    <mergeCell ref="H66:H68"/>
    <mergeCell ref="J66:J68"/>
    <mergeCell ref="G73:G74"/>
    <mergeCell ref="H73:H74"/>
    <mergeCell ref="I66:I68"/>
    <mergeCell ref="I73:I74"/>
  </mergeCells>
  <conditionalFormatting sqref="O5:O77">
    <cfRule type="cellIs" dxfId="0" priority="1" operator="lessThan">
      <formula>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21" max="18" man="1"/>
    <brk id="39" max="16383" man="1"/>
    <brk id="55"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ACD62-91C0-436A-8534-1C0E05837919}">
  <sheetPr>
    <tabColor rgb="FF92D050"/>
  </sheetPr>
  <dimension ref="A1:AE87"/>
  <sheetViews>
    <sheetView showGridLines="0" tabSelected="1" zoomScale="80" zoomScaleNormal="80" zoomScaleSheetLayoutView="20" workbookViewId="0">
      <pane ySplit="4" topLeftCell="A65" activePane="bottomLeft" state="frozen"/>
      <selection pane="bottomLeft" activeCell="I65" sqref="I65"/>
    </sheetView>
  </sheetViews>
  <sheetFormatPr baseColWidth="10" defaultColWidth="11.42578125" defaultRowHeight="15" x14ac:dyDescent="0.2"/>
  <cols>
    <col min="1" max="1" width="6.5703125" style="43" customWidth="1"/>
    <col min="2" max="2" width="27.140625" style="44" customWidth="1"/>
    <col min="3" max="3" width="17.140625" style="44" customWidth="1"/>
    <col min="4" max="4" width="5" style="43" customWidth="1"/>
    <col min="5" max="5" width="39.28515625" style="44" customWidth="1"/>
    <col min="6" max="6" width="5" style="43" customWidth="1"/>
    <col min="7" max="7" width="26.28515625" style="47" customWidth="1"/>
    <col min="8" max="8" width="47.42578125" style="44" customWidth="1"/>
    <col min="9" max="9" width="43" style="44" bestFit="1" customWidth="1"/>
    <col min="10" max="10" width="13.42578125" style="44" bestFit="1" customWidth="1"/>
    <col min="11" max="11" width="22.42578125" style="43" bestFit="1" customWidth="1"/>
    <col min="12" max="13" width="18.42578125" style="44" bestFit="1" customWidth="1"/>
    <col min="14" max="14" width="22.42578125" style="44" bestFit="1" customWidth="1"/>
    <col min="15" max="15" width="20.7109375" style="44" bestFit="1" customWidth="1"/>
    <col min="16" max="16" width="24.140625" style="44" hidden="1" customWidth="1"/>
    <col min="17" max="17" width="31.28515625" style="44" hidden="1" customWidth="1"/>
    <col min="18" max="18" width="23.5703125" style="44" hidden="1" customWidth="1"/>
    <col min="19" max="19" width="18.7109375" style="44" bestFit="1" customWidth="1"/>
    <col min="20" max="20" width="20.7109375" style="44" bestFit="1" customWidth="1"/>
    <col min="21" max="21" width="26.85546875" style="44" hidden="1" customWidth="1"/>
    <col min="22" max="22" width="37.140625" style="44" hidden="1" customWidth="1"/>
    <col min="23" max="23" width="23.5703125" style="44" hidden="1" customWidth="1"/>
    <col min="24" max="25" width="18.7109375" style="44" customWidth="1"/>
    <col min="26" max="26" width="19.5703125" style="48" bestFit="1" customWidth="1"/>
    <col min="27" max="28" width="19.5703125" style="48" customWidth="1"/>
    <col min="29" max="29" width="54" style="48" customWidth="1"/>
    <col min="30" max="16384" width="11.42578125" style="48"/>
  </cols>
  <sheetData>
    <row r="1" spans="1:29" s="13" customFormat="1" ht="30.75" customHeight="1" x14ac:dyDescent="0.25">
      <c r="A1" s="207"/>
      <c r="B1" s="208"/>
      <c r="C1" s="208"/>
      <c r="D1" s="208"/>
      <c r="E1" s="209"/>
      <c r="F1" s="219" t="s">
        <v>385</v>
      </c>
      <c r="G1" s="203"/>
      <c r="H1" s="203"/>
      <c r="I1" s="203"/>
      <c r="J1" s="203"/>
      <c r="K1" s="203"/>
      <c r="L1" s="203"/>
      <c r="M1" s="203"/>
      <c r="N1" s="203"/>
      <c r="O1" s="203"/>
      <c r="P1" s="203"/>
      <c r="Q1" s="203"/>
      <c r="R1" s="203"/>
      <c r="S1" s="203"/>
      <c r="T1" s="203"/>
      <c r="U1" s="203"/>
      <c r="V1" s="203"/>
      <c r="W1" s="203"/>
      <c r="X1" s="203"/>
      <c r="Y1" s="203"/>
      <c r="Z1" s="203"/>
      <c r="AA1" s="203"/>
      <c r="AB1" s="203"/>
      <c r="AC1" s="203"/>
    </row>
    <row r="2" spans="1:29" s="14" customFormat="1" ht="30.75" customHeight="1" x14ac:dyDescent="0.25">
      <c r="A2" s="210"/>
      <c r="B2" s="211"/>
      <c r="C2" s="211"/>
      <c r="D2" s="211"/>
      <c r="E2" s="212"/>
      <c r="F2" s="121"/>
      <c r="G2" s="121"/>
      <c r="H2" s="121"/>
      <c r="I2" s="121"/>
      <c r="J2" s="121"/>
      <c r="K2" s="121"/>
      <c r="L2" s="121"/>
      <c r="M2" s="121"/>
      <c r="N2" s="121"/>
      <c r="O2" s="121"/>
      <c r="P2" s="121"/>
      <c r="Q2" s="121"/>
      <c r="R2" s="121"/>
      <c r="S2" s="121"/>
      <c r="T2" s="121"/>
      <c r="U2" s="121"/>
      <c r="V2" s="121"/>
      <c r="W2" s="121"/>
      <c r="X2" s="121"/>
      <c r="Y2" s="121"/>
    </row>
    <row r="3" spans="1:29" s="13" customFormat="1" ht="30.75" customHeight="1" thickBot="1" x14ac:dyDescent="0.3">
      <c r="A3" s="210"/>
      <c r="B3" s="211"/>
      <c r="C3" s="211"/>
      <c r="D3" s="211"/>
      <c r="E3" s="212"/>
      <c r="F3" s="121"/>
      <c r="G3" s="121"/>
      <c r="H3" s="121"/>
      <c r="I3" s="121"/>
      <c r="J3" s="121"/>
      <c r="K3" s="121"/>
      <c r="L3" s="121"/>
      <c r="M3" s="121"/>
      <c r="N3" s="121"/>
      <c r="O3" s="121"/>
      <c r="P3" s="121"/>
      <c r="Q3" s="121"/>
      <c r="R3" s="121"/>
      <c r="S3" s="121"/>
      <c r="T3" s="121"/>
      <c r="U3" s="121"/>
      <c r="V3" s="121"/>
      <c r="W3" s="121"/>
      <c r="X3" s="121"/>
      <c r="Y3" s="121"/>
    </row>
    <row r="4" spans="1:29" s="16" customFormat="1" ht="51.75" customHeight="1" x14ac:dyDescent="0.25">
      <c r="A4" s="123" t="s">
        <v>240</v>
      </c>
      <c r="B4" s="124" t="s">
        <v>241</v>
      </c>
      <c r="C4" s="124" t="s">
        <v>242</v>
      </c>
      <c r="D4" s="124" t="s">
        <v>243</v>
      </c>
      <c r="E4" s="124" t="s">
        <v>244</v>
      </c>
      <c r="F4" s="124" t="s">
        <v>243</v>
      </c>
      <c r="G4" s="124" t="s">
        <v>245</v>
      </c>
      <c r="H4" s="124" t="s">
        <v>246</v>
      </c>
      <c r="I4" s="124" t="s">
        <v>247</v>
      </c>
      <c r="J4" s="124" t="s">
        <v>248</v>
      </c>
      <c r="K4" s="124" t="s">
        <v>249</v>
      </c>
      <c r="L4" s="125" t="s">
        <v>250</v>
      </c>
      <c r="M4" s="126" t="s">
        <v>373</v>
      </c>
      <c r="N4" s="125" t="s">
        <v>252</v>
      </c>
      <c r="O4" s="126" t="s">
        <v>404</v>
      </c>
      <c r="P4" s="128" t="s">
        <v>387</v>
      </c>
      <c r="Q4" s="128" t="s">
        <v>388</v>
      </c>
      <c r="R4" s="128" t="s">
        <v>402</v>
      </c>
      <c r="S4" s="125" t="s">
        <v>253</v>
      </c>
      <c r="T4" s="126" t="s">
        <v>405</v>
      </c>
      <c r="U4" s="128" t="s">
        <v>399</v>
      </c>
      <c r="V4" s="128" t="s">
        <v>401</v>
      </c>
      <c r="W4" s="128" t="s">
        <v>403</v>
      </c>
      <c r="X4" s="125" t="s">
        <v>254</v>
      </c>
      <c r="Y4" s="125" t="s">
        <v>406</v>
      </c>
      <c r="Z4" s="128" t="s">
        <v>408</v>
      </c>
      <c r="AA4" s="128" t="s">
        <v>411</v>
      </c>
      <c r="AB4" s="128" t="s">
        <v>407</v>
      </c>
      <c r="AC4" s="137" t="s">
        <v>416</v>
      </c>
    </row>
    <row r="5" spans="1:29" s="20" customFormat="1" ht="45" x14ac:dyDescent="0.25">
      <c r="A5" s="193">
        <v>1</v>
      </c>
      <c r="B5" s="192" t="s">
        <v>255</v>
      </c>
      <c r="C5" s="192" t="s">
        <v>256</v>
      </c>
      <c r="D5" s="192">
        <v>1</v>
      </c>
      <c r="E5" s="198" t="s">
        <v>0</v>
      </c>
      <c r="F5" s="192">
        <v>1</v>
      </c>
      <c r="G5" s="192" t="s">
        <v>257</v>
      </c>
      <c r="H5" s="155" t="s">
        <v>258</v>
      </c>
      <c r="I5" s="156" t="s">
        <v>1</v>
      </c>
      <c r="J5" s="154" t="s">
        <v>259</v>
      </c>
      <c r="K5" s="154">
        <v>1</v>
      </c>
      <c r="L5" s="154" t="s">
        <v>260</v>
      </c>
      <c r="M5" s="18" t="s">
        <v>259</v>
      </c>
      <c r="N5" s="18" t="s">
        <v>260</v>
      </c>
      <c r="O5" s="18" t="s">
        <v>259</v>
      </c>
      <c r="P5" s="18" t="s">
        <v>259</v>
      </c>
      <c r="Q5" s="18" t="s">
        <v>259</v>
      </c>
      <c r="R5" s="18" t="s">
        <v>259</v>
      </c>
      <c r="S5" s="18" t="s">
        <v>260</v>
      </c>
      <c r="T5" s="18" t="s">
        <v>259</v>
      </c>
      <c r="U5" s="18" t="s">
        <v>259</v>
      </c>
      <c r="V5" s="18" t="s">
        <v>259</v>
      </c>
      <c r="W5" s="18" t="s">
        <v>259</v>
      </c>
      <c r="X5" s="18">
        <v>1</v>
      </c>
      <c r="Y5" s="18">
        <v>0</v>
      </c>
      <c r="Z5" s="177" t="s">
        <v>259</v>
      </c>
      <c r="AA5" s="74" t="s">
        <v>259</v>
      </c>
      <c r="AB5" s="173" t="s">
        <v>259</v>
      </c>
      <c r="AC5" s="170" t="s">
        <v>470</v>
      </c>
    </row>
    <row r="6" spans="1:29" s="20" customFormat="1" ht="90" x14ac:dyDescent="0.25">
      <c r="A6" s="193"/>
      <c r="B6" s="192"/>
      <c r="C6" s="192"/>
      <c r="D6" s="192"/>
      <c r="E6" s="198"/>
      <c r="F6" s="192"/>
      <c r="G6" s="192"/>
      <c r="H6" s="155" t="s">
        <v>2</v>
      </c>
      <c r="I6" s="156" t="s">
        <v>1</v>
      </c>
      <c r="J6" s="154" t="s">
        <v>259</v>
      </c>
      <c r="K6" s="49">
        <v>0.25</v>
      </c>
      <c r="L6" s="50">
        <v>0.25</v>
      </c>
      <c r="M6" s="50">
        <v>0.25</v>
      </c>
      <c r="N6" s="50">
        <v>0.25</v>
      </c>
      <c r="O6" s="50">
        <v>0.25</v>
      </c>
      <c r="P6" s="50">
        <f>O6/N6</f>
        <v>1</v>
      </c>
      <c r="Q6" s="50">
        <f>O6</f>
        <v>0.25</v>
      </c>
      <c r="R6" s="50">
        <f>Q6/K6</f>
        <v>1</v>
      </c>
      <c r="S6" s="50">
        <v>0.25</v>
      </c>
      <c r="T6" s="181">
        <v>0.23</v>
      </c>
      <c r="U6" s="50">
        <f>T6/S6</f>
        <v>0.92</v>
      </c>
      <c r="V6" s="50">
        <f>T6</f>
        <v>0.23</v>
      </c>
      <c r="W6" s="50">
        <f>T6/K6</f>
        <v>0.92</v>
      </c>
      <c r="X6" s="50">
        <v>0.25</v>
      </c>
      <c r="Y6" s="50">
        <v>0.25</v>
      </c>
      <c r="Z6" s="178">
        <f>Y6/X6</f>
        <v>1</v>
      </c>
      <c r="AA6" s="164">
        <f>Y6</f>
        <v>0.25</v>
      </c>
      <c r="AB6" s="174">
        <f t="shared" ref="AB6:AB14" si="0">AA6/K6</f>
        <v>1</v>
      </c>
      <c r="AC6" s="170" t="s">
        <v>468</v>
      </c>
    </row>
    <row r="7" spans="1:29" s="20" customFormat="1" ht="120" customHeight="1" x14ac:dyDescent="0.25">
      <c r="A7" s="193"/>
      <c r="B7" s="192"/>
      <c r="C7" s="192"/>
      <c r="D7" s="192"/>
      <c r="E7" s="198"/>
      <c r="F7" s="192"/>
      <c r="G7" s="192"/>
      <c r="H7" s="155" t="s">
        <v>4</v>
      </c>
      <c r="I7" s="156" t="s">
        <v>3</v>
      </c>
      <c r="J7" s="154">
        <v>2</v>
      </c>
      <c r="K7" s="51">
        <v>11</v>
      </c>
      <c r="L7" s="51">
        <v>3</v>
      </c>
      <c r="M7" s="51">
        <v>3</v>
      </c>
      <c r="N7" s="51">
        <v>6</v>
      </c>
      <c r="O7" s="51">
        <v>7</v>
      </c>
      <c r="P7" s="50">
        <f t="shared" ref="P7:P70" si="1">O7/N7</f>
        <v>1.1666666666666667</v>
      </c>
      <c r="Q7" s="51">
        <f>O7</f>
        <v>7</v>
      </c>
      <c r="R7" s="50">
        <f>Q7/K7</f>
        <v>0.63636363636363635</v>
      </c>
      <c r="S7" s="51">
        <v>1</v>
      </c>
      <c r="T7" s="51">
        <v>5</v>
      </c>
      <c r="U7" s="50">
        <f>T7/S7</f>
        <v>5</v>
      </c>
      <c r="V7" s="51">
        <f>T7+Q7</f>
        <v>12</v>
      </c>
      <c r="W7" s="50">
        <f t="shared" ref="W7:W22" si="2">V7/K7</f>
        <v>1.0909090909090908</v>
      </c>
      <c r="X7" s="18" t="s">
        <v>259</v>
      </c>
      <c r="Y7" s="18" t="s">
        <v>259</v>
      </c>
      <c r="Z7" s="177" t="s">
        <v>259</v>
      </c>
      <c r="AA7" s="169">
        <f>V7</f>
        <v>12</v>
      </c>
      <c r="AB7" s="174">
        <f t="shared" si="0"/>
        <v>1.0909090909090908</v>
      </c>
      <c r="AC7" s="170" t="s">
        <v>412</v>
      </c>
    </row>
    <row r="8" spans="1:29" s="20" customFormat="1" ht="120" customHeight="1" x14ac:dyDescent="0.25">
      <c r="A8" s="193"/>
      <c r="B8" s="192"/>
      <c r="C8" s="192"/>
      <c r="D8" s="192">
        <v>2</v>
      </c>
      <c r="E8" s="196" t="s">
        <v>262</v>
      </c>
      <c r="F8" s="192">
        <v>2</v>
      </c>
      <c r="G8" s="192" t="s">
        <v>256</v>
      </c>
      <c r="H8" s="155" t="s">
        <v>386</v>
      </c>
      <c r="I8" s="156" t="s">
        <v>5</v>
      </c>
      <c r="J8" s="154" t="s">
        <v>259</v>
      </c>
      <c r="K8" s="154">
        <v>1</v>
      </c>
      <c r="L8" s="154" t="s">
        <v>260</v>
      </c>
      <c r="M8" s="18" t="s">
        <v>259</v>
      </c>
      <c r="N8" s="18" t="s">
        <v>260</v>
      </c>
      <c r="O8" s="18" t="s">
        <v>259</v>
      </c>
      <c r="P8" s="50" t="s">
        <v>259</v>
      </c>
      <c r="Q8" s="50" t="s">
        <v>259</v>
      </c>
      <c r="R8" s="50" t="s">
        <v>259</v>
      </c>
      <c r="S8" s="18">
        <v>1</v>
      </c>
      <c r="T8" s="18">
        <v>1</v>
      </c>
      <c r="U8" s="50">
        <f>T8/S8</f>
        <v>1</v>
      </c>
      <c r="V8" s="133">
        <f>T8</f>
        <v>1</v>
      </c>
      <c r="W8" s="50">
        <f t="shared" si="2"/>
        <v>1</v>
      </c>
      <c r="X8" s="18" t="s">
        <v>259</v>
      </c>
      <c r="Y8" s="18" t="s">
        <v>259</v>
      </c>
      <c r="Z8" s="177" t="s">
        <v>259</v>
      </c>
      <c r="AA8" s="160">
        <f>V8</f>
        <v>1</v>
      </c>
      <c r="AB8" s="174">
        <f t="shared" si="0"/>
        <v>1</v>
      </c>
      <c r="AC8" s="170" t="s">
        <v>447</v>
      </c>
    </row>
    <row r="9" spans="1:29" s="20" customFormat="1" ht="120" customHeight="1" x14ac:dyDescent="0.25">
      <c r="A9" s="193"/>
      <c r="B9" s="192"/>
      <c r="C9" s="192"/>
      <c r="D9" s="192"/>
      <c r="E9" s="196"/>
      <c r="F9" s="192"/>
      <c r="G9" s="192"/>
      <c r="H9" s="155" t="s">
        <v>121</v>
      </c>
      <c r="I9" s="156" t="s">
        <v>5</v>
      </c>
      <c r="J9" s="154" t="s">
        <v>259</v>
      </c>
      <c r="K9" s="154">
        <v>3</v>
      </c>
      <c r="L9" s="120">
        <v>0</v>
      </c>
      <c r="M9" s="120">
        <v>0</v>
      </c>
      <c r="N9" s="18">
        <v>1</v>
      </c>
      <c r="O9" s="18">
        <v>7</v>
      </c>
      <c r="P9" s="50">
        <f t="shared" si="1"/>
        <v>7</v>
      </c>
      <c r="Q9" s="133">
        <f>O9</f>
        <v>7</v>
      </c>
      <c r="R9" s="50">
        <f t="shared" ref="R9:R40" si="3">Q9/K9</f>
        <v>2.3333333333333335</v>
      </c>
      <c r="S9" s="18">
        <v>2</v>
      </c>
      <c r="T9" s="133">
        <f>Q9+1</f>
        <v>8</v>
      </c>
      <c r="U9" s="50">
        <f>T9/S9</f>
        <v>4</v>
      </c>
      <c r="V9" s="133">
        <f>T9</f>
        <v>8</v>
      </c>
      <c r="W9" s="50">
        <f t="shared" si="2"/>
        <v>2.6666666666666665</v>
      </c>
      <c r="X9" s="18" t="s">
        <v>259</v>
      </c>
      <c r="Y9" s="18" t="s">
        <v>259</v>
      </c>
      <c r="Z9" s="177" t="s">
        <v>259</v>
      </c>
      <c r="AA9" s="160">
        <f>V9</f>
        <v>8</v>
      </c>
      <c r="AB9" s="176">
        <f t="shared" si="0"/>
        <v>2.6666666666666665</v>
      </c>
      <c r="AC9" s="170" t="s">
        <v>412</v>
      </c>
    </row>
    <row r="10" spans="1:29" s="20" customFormat="1" ht="120" customHeight="1" x14ac:dyDescent="0.25">
      <c r="A10" s="193"/>
      <c r="B10" s="192"/>
      <c r="C10" s="192"/>
      <c r="D10" s="192"/>
      <c r="E10" s="196"/>
      <c r="F10" s="192"/>
      <c r="G10" s="192"/>
      <c r="H10" s="155" t="s">
        <v>265</v>
      </c>
      <c r="I10" s="156" t="s">
        <v>124</v>
      </c>
      <c r="J10" s="154" t="s">
        <v>260</v>
      </c>
      <c r="K10" s="52">
        <v>1</v>
      </c>
      <c r="L10" s="52">
        <v>0.25</v>
      </c>
      <c r="M10" s="22">
        <v>0.35</v>
      </c>
      <c r="N10" s="22">
        <v>0.25</v>
      </c>
      <c r="O10" s="22">
        <v>0.25</v>
      </c>
      <c r="P10" s="50">
        <f t="shared" si="1"/>
        <v>1</v>
      </c>
      <c r="Q10" s="50">
        <f>M10+O10</f>
        <v>0.6</v>
      </c>
      <c r="R10" s="50">
        <f t="shared" si="3"/>
        <v>0.6</v>
      </c>
      <c r="S10" s="22">
        <v>0.25</v>
      </c>
      <c r="T10" s="50">
        <v>0.25</v>
      </c>
      <c r="U10" s="50">
        <f>T10/S10</f>
        <v>1</v>
      </c>
      <c r="V10" s="50">
        <f>T10+Q10</f>
        <v>0.85</v>
      </c>
      <c r="W10" s="50">
        <f t="shared" si="2"/>
        <v>0.85</v>
      </c>
      <c r="X10" s="22">
        <v>0.25</v>
      </c>
      <c r="Y10" s="22">
        <v>0.12</v>
      </c>
      <c r="Z10" s="179">
        <f>Y10/X10</f>
        <v>0.48</v>
      </c>
      <c r="AA10" s="164">
        <f>V10+Y10</f>
        <v>0.97</v>
      </c>
      <c r="AB10" s="174">
        <f>AA10/K10</f>
        <v>0.97</v>
      </c>
      <c r="AC10" s="170" t="s">
        <v>451</v>
      </c>
    </row>
    <row r="11" spans="1:29" s="20" customFormat="1" ht="120" customHeight="1" x14ac:dyDescent="0.25">
      <c r="A11" s="193"/>
      <c r="B11" s="192"/>
      <c r="C11" s="192"/>
      <c r="D11" s="192"/>
      <c r="E11" s="196"/>
      <c r="F11" s="192"/>
      <c r="G11" s="192"/>
      <c r="H11" s="155" t="s">
        <v>267</v>
      </c>
      <c r="I11" s="156" t="s">
        <v>3</v>
      </c>
      <c r="J11" s="154">
        <v>1</v>
      </c>
      <c r="K11" s="51">
        <v>3</v>
      </c>
      <c r="L11" s="154">
        <v>1</v>
      </c>
      <c r="M11" s="18">
        <v>1</v>
      </c>
      <c r="N11" s="24">
        <v>1</v>
      </c>
      <c r="O11" s="24">
        <v>1</v>
      </c>
      <c r="P11" s="50">
        <f t="shared" si="1"/>
        <v>1</v>
      </c>
      <c r="Q11" s="24">
        <v>2</v>
      </c>
      <c r="R11" s="50">
        <f t="shared" si="3"/>
        <v>0.66666666666666663</v>
      </c>
      <c r="S11" s="24">
        <v>0</v>
      </c>
      <c r="T11" s="24">
        <v>5</v>
      </c>
      <c r="U11" s="50" t="s">
        <v>259</v>
      </c>
      <c r="V11" s="24">
        <f>T11+Q11</f>
        <v>7</v>
      </c>
      <c r="W11" s="50">
        <f t="shared" si="2"/>
        <v>2.3333333333333335</v>
      </c>
      <c r="X11" s="24">
        <v>1</v>
      </c>
      <c r="Y11" s="24">
        <v>1</v>
      </c>
      <c r="Z11" s="131">
        <f>Y11/X11</f>
        <v>1</v>
      </c>
      <c r="AA11" s="171">
        <f>V11+Y11</f>
        <v>8</v>
      </c>
      <c r="AB11" s="174">
        <f>AA11/K11</f>
        <v>2.6666666666666665</v>
      </c>
      <c r="AC11" s="170" t="s">
        <v>434</v>
      </c>
    </row>
    <row r="12" spans="1:29" s="20" customFormat="1" ht="120" customHeight="1" x14ac:dyDescent="0.25">
      <c r="A12" s="193"/>
      <c r="B12" s="192"/>
      <c r="C12" s="192"/>
      <c r="D12" s="154">
        <v>3</v>
      </c>
      <c r="E12" s="53" t="s">
        <v>7</v>
      </c>
      <c r="F12" s="154">
        <v>3</v>
      </c>
      <c r="G12" s="154" t="s">
        <v>261</v>
      </c>
      <c r="H12" s="155" t="s">
        <v>268</v>
      </c>
      <c r="I12" s="156" t="s">
        <v>3</v>
      </c>
      <c r="J12" s="154">
        <v>10</v>
      </c>
      <c r="K12" s="154">
        <v>14</v>
      </c>
      <c r="L12" s="154">
        <v>1</v>
      </c>
      <c r="M12" s="18">
        <v>4</v>
      </c>
      <c r="N12" s="18">
        <v>14</v>
      </c>
      <c r="O12" s="18">
        <v>14</v>
      </c>
      <c r="P12" s="50">
        <f t="shared" si="1"/>
        <v>1</v>
      </c>
      <c r="Q12" s="133">
        <f t="shared" ref="Q12:Q18" si="4">O12</f>
        <v>14</v>
      </c>
      <c r="R12" s="50">
        <f t="shared" si="3"/>
        <v>1</v>
      </c>
      <c r="S12" s="18">
        <v>14</v>
      </c>
      <c r="T12" s="133">
        <v>14</v>
      </c>
      <c r="U12" s="50">
        <f>T12/S12</f>
        <v>1</v>
      </c>
      <c r="V12" s="133">
        <f>T12</f>
        <v>14</v>
      </c>
      <c r="W12" s="50">
        <f t="shared" si="2"/>
        <v>1</v>
      </c>
      <c r="X12" s="18">
        <v>14</v>
      </c>
      <c r="Y12" s="18">
        <v>14</v>
      </c>
      <c r="Z12" s="131">
        <f>Y12/X12</f>
        <v>1</v>
      </c>
      <c r="AA12" s="160">
        <f>Y12</f>
        <v>14</v>
      </c>
      <c r="AB12" s="176">
        <f t="shared" si="0"/>
        <v>1</v>
      </c>
      <c r="AC12" s="170" t="s">
        <v>435</v>
      </c>
    </row>
    <row r="13" spans="1:29" s="20" customFormat="1" ht="120" customHeight="1" x14ac:dyDescent="0.25">
      <c r="A13" s="193">
        <v>2</v>
      </c>
      <c r="B13" s="192" t="s">
        <v>270</v>
      </c>
      <c r="C13" s="192" t="s">
        <v>271</v>
      </c>
      <c r="D13" s="192">
        <v>1</v>
      </c>
      <c r="E13" s="198" t="s">
        <v>272</v>
      </c>
      <c r="F13" s="192">
        <v>1</v>
      </c>
      <c r="G13" s="192" t="s">
        <v>273</v>
      </c>
      <c r="H13" s="155" t="s">
        <v>274</v>
      </c>
      <c r="I13" s="156" t="s">
        <v>10</v>
      </c>
      <c r="J13" s="49">
        <v>0.93</v>
      </c>
      <c r="K13" s="49">
        <v>1</v>
      </c>
      <c r="L13" s="52">
        <v>0.93</v>
      </c>
      <c r="M13" s="22">
        <v>0.93</v>
      </c>
      <c r="N13" s="22">
        <v>0.96</v>
      </c>
      <c r="O13" s="22">
        <v>0.96</v>
      </c>
      <c r="P13" s="50">
        <f t="shared" si="1"/>
        <v>1</v>
      </c>
      <c r="Q13" s="50">
        <f t="shared" si="4"/>
        <v>0.96</v>
      </c>
      <c r="R13" s="50">
        <f t="shared" si="3"/>
        <v>0.96</v>
      </c>
      <c r="S13" s="22">
        <v>0.98</v>
      </c>
      <c r="T13" s="181">
        <v>0.98140000000000005</v>
      </c>
      <c r="U13" s="50">
        <f>T13/S13</f>
        <v>1.0014285714285716</v>
      </c>
      <c r="V13" s="50">
        <f>T13</f>
        <v>0.98140000000000005</v>
      </c>
      <c r="W13" s="50">
        <f t="shared" si="2"/>
        <v>0.98140000000000005</v>
      </c>
      <c r="X13" s="22">
        <v>1</v>
      </c>
      <c r="Y13" s="22">
        <v>1</v>
      </c>
      <c r="Z13" s="179">
        <f>Y13/X13</f>
        <v>1</v>
      </c>
      <c r="AA13" s="153">
        <f>Y13</f>
        <v>1</v>
      </c>
      <c r="AB13" s="175">
        <f t="shared" si="0"/>
        <v>1</v>
      </c>
      <c r="AC13" s="170" t="s">
        <v>444</v>
      </c>
    </row>
    <row r="14" spans="1:29" s="20" customFormat="1" ht="120" customHeight="1" x14ac:dyDescent="0.25">
      <c r="A14" s="193"/>
      <c r="B14" s="192"/>
      <c r="C14" s="192"/>
      <c r="D14" s="192"/>
      <c r="E14" s="198"/>
      <c r="F14" s="192"/>
      <c r="G14" s="192"/>
      <c r="H14" s="155" t="s">
        <v>379</v>
      </c>
      <c r="I14" s="156" t="s">
        <v>10</v>
      </c>
      <c r="J14" s="154">
        <v>211</v>
      </c>
      <c r="K14" s="54">
        <v>11567</v>
      </c>
      <c r="L14" s="55">
        <v>2711</v>
      </c>
      <c r="M14" s="27">
        <v>3102</v>
      </c>
      <c r="N14" s="27">
        <v>5211</v>
      </c>
      <c r="O14" s="27">
        <v>7754</v>
      </c>
      <c r="P14" s="50">
        <f t="shared" si="1"/>
        <v>1.4880061408558818</v>
      </c>
      <c r="Q14" s="133">
        <f t="shared" si="4"/>
        <v>7754</v>
      </c>
      <c r="R14" s="50">
        <f t="shared" si="3"/>
        <v>0.67035532117230046</v>
      </c>
      <c r="S14" s="27">
        <v>10067</v>
      </c>
      <c r="T14" s="133">
        <v>10639</v>
      </c>
      <c r="U14" s="50">
        <f>T14/S14</f>
        <v>1.0568193106188537</v>
      </c>
      <c r="V14" s="133">
        <f>T14</f>
        <v>10639</v>
      </c>
      <c r="W14" s="50">
        <f t="shared" si="2"/>
        <v>0.9197717645024639</v>
      </c>
      <c r="X14" s="27">
        <v>11567</v>
      </c>
      <c r="Y14" s="27">
        <v>11545</v>
      </c>
      <c r="Z14" s="179">
        <f>Y14/X14</f>
        <v>0.9980980375205325</v>
      </c>
      <c r="AA14" s="160">
        <f>Y14</f>
        <v>11545</v>
      </c>
      <c r="AB14" s="175">
        <f t="shared" si="0"/>
        <v>0.9980980375205325</v>
      </c>
      <c r="AC14" s="170" t="s">
        <v>445</v>
      </c>
    </row>
    <row r="15" spans="1:29" s="20" customFormat="1" ht="120" customHeight="1" x14ac:dyDescent="0.25">
      <c r="A15" s="193"/>
      <c r="B15" s="192"/>
      <c r="C15" s="192"/>
      <c r="D15" s="192"/>
      <c r="E15" s="198"/>
      <c r="F15" s="192"/>
      <c r="G15" s="192"/>
      <c r="H15" s="155" t="s">
        <v>128</v>
      </c>
      <c r="I15" s="156" t="s">
        <v>10</v>
      </c>
      <c r="J15" s="154">
        <v>1063</v>
      </c>
      <c r="K15" s="154">
        <v>1134</v>
      </c>
      <c r="L15" s="120">
        <v>0</v>
      </c>
      <c r="M15" s="120">
        <v>0</v>
      </c>
      <c r="N15" s="27">
        <v>1134</v>
      </c>
      <c r="O15" s="27">
        <v>1130</v>
      </c>
      <c r="P15" s="50">
        <f t="shared" si="1"/>
        <v>0.99647266313932981</v>
      </c>
      <c r="Q15" s="133">
        <f t="shared" si="4"/>
        <v>1130</v>
      </c>
      <c r="R15" s="50">
        <f t="shared" si="3"/>
        <v>0.99647266313932981</v>
      </c>
      <c r="S15" s="27" t="s">
        <v>259</v>
      </c>
      <c r="T15" s="133" t="s">
        <v>259</v>
      </c>
      <c r="U15" s="50">
        <v>1</v>
      </c>
      <c r="V15" s="133">
        <f>Q15</f>
        <v>1130</v>
      </c>
      <c r="W15" s="50">
        <f t="shared" si="2"/>
        <v>0.99647266313932981</v>
      </c>
      <c r="X15" s="27">
        <v>0</v>
      </c>
      <c r="Y15" s="27" t="s">
        <v>259</v>
      </c>
      <c r="Z15" s="177" t="s">
        <v>259</v>
      </c>
      <c r="AA15" s="74" t="s">
        <v>259</v>
      </c>
      <c r="AB15" s="174">
        <f>W15</f>
        <v>0.99647266313932981</v>
      </c>
      <c r="AC15" s="170" t="s">
        <v>400</v>
      </c>
    </row>
    <row r="16" spans="1:29" s="20" customFormat="1" ht="120" customHeight="1" x14ac:dyDescent="0.25">
      <c r="A16" s="193"/>
      <c r="B16" s="192"/>
      <c r="C16" s="192"/>
      <c r="D16" s="192">
        <v>3</v>
      </c>
      <c r="E16" s="196" t="s">
        <v>275</v>
      </c>
      <c r="F16" s="192">
        <v>3</v>
      </c>
      <c r="G16" s="192" t="s">
        <v>276</v>
      </c>
      <c r="H16" s="155" t="s">
        <v>378</v>
      </c>
      <c r="I16" s="156" t="s">
        <v>383</v>
      </c>
      <c r="J16" s="154">
        <v>11</v>
      </c>
      <c r="K16" s="154">
        <v>24</v>
      </c>
      <c r="L16" s="154">
        <v>16</v>
      </c>
      <c r="M16" s="18">
        <v>17</v>
      </c>
      <c r="N16" s="18">
        <v>21</v>
      </c>
      <c r="O16" s="18">
        <v>21</v>
      </c>
      <c r="P16" s="50">
        <f t="shared" si="1"/>
        <v>1</v>
      </c>
      <c r="Q16" s="133">
        <f t="shared" si="4"/>
        <v>21</v>
      </c>
      <c r="R16" s="50">
        <f t="shared" si="3"/>
        <v>0.875</v>
      </c>
      <c r="S16" s="18">
        <v>22</v>
      </c>
      <c r="T16" s="133">
        <v>34</v>
      </c>
      <c r="U16" s="50">
        <f>T16/S16</f>
        <v>1.5454545454545454</v>
      </c>
      <c r="V16" s="133">
        <f>T16</f>
        <v>34</v>
      </c>
      <c r="W16" s="50">
        <f t="shared" si="2"/>
        <v>1.4166666666666667</v>
      </c>
      <c r="X16" s="18">
        <v>24</v>
      </c>
      <c r="Y16" s="18">
        <v>34</v>
      </c>
      <c r="Z16" s="131">
        <f>Y16/X16</f>
        <v>1.4166666666666667</v>
      </c>
      <c r="AA16" s="160">
        <f>Y16</f>
        <v>34</v>
      </c>
      <c r="AB16" s="176">
        <f>AA16/K16</f>
        <v>1.4166666666666667</v>
      </c>
      <c r="AC16" s="170" t="s">
        <v>436</v>
      </c>
    </row>
    <row r="17" spans="1:31" s="20" customFormat="1" ht="120" customHeight="1" x14ac:dyDescent="0.25">
      <c r="A17" s="193"/>
      <c r="B17" s="192"/>
      <c r="C17" s="192"/>
      <c r="D17" s="192"/>
      <c r="E17" s="196"/>
      <c r="F17" s="192"/>
      <c r="G17" s="192"/>
      <c r="H17" s="155" t="s">
        <v>14</v>
      </c>
      <c r="I17" s="156" t="s">
        <v>383</v>
      </c>
      <c r="J17" s="154">
        <v>7</v>
      </c>
      <c r="K17" s="154">
        <v>40</v>
      </c>
      <c r="L17" s="154">
        <v>8</v>
      </c>
      <c r="M17" s="18">
        <v>10</v>
      </c>
      <c r="N17" s="18">
        <v>24</v>
      </c>
      <c r="O17" s="18">
        <v>22</v>
      </c>
      <c r="P17" s="50">
        <f t="shared" si="1"/>
        <v>0.91666666666666663</v>
      </c>
      <c r="Q17" s="133">
        <f t="shared" si="4"/>
        <v>22</v>
      </c>
      <c r="R17" s="50">
        <f t="shared" si="3"/>
        <v>0.55000000000000004</v>
      </c>
      <c r="S17" s="18">
        <v>32</v>
      </c>
      <c r="T17" s="133">
        <v>32</v>
      </c>
      <c r="U17" s="50">
        <f>T17/S17</f>
        <v>1</v>
      </c>
      <c r="V17" s="133">
        <f>T17</f>
        <v>32</v>
      </c>
      <c r="W17" s="50">
        <f t="shared" si="2"/>
        <v>0.8</v>
      </c>
      <c r="X17" s="18">
        <v>40</v>
      </c>
      <c r="Y17" s="18">
        <v>0</v>
      </c>
      <c r="Z17" s="131">
        <f>Y17/X17</f>
        <v>0</v>
      </c>
      <c r="AA17" s="160">
        <f>V17</f>
        <v>32</v>
      </c>
      <c r="AB17" s="176">
        <f>AA17/K17</f>
        <v>0.8</v>
      </c>
      <c r="AC17" s="170" t="s">
        <v>437</v>
      </c>
    </row>
    <row r="18" spans="1:31" s="20" customFormat="1" ht="210" x14ac:dyDescent="0.25">
      <c r="A18" s="193"/>
      <c r="B18" s="192"/>
      <c r="C18" s="192"/>
      <c r="D18" s="192"/>
      <c r="E18" s="196"/>
      <c r="F18" s="192"/>
      <c r="G18" s="192"/>
      <c r="H18" s="155" t="s">
        <v>377</v>
      </c>
      <c r="I18" s="156" t="s">
        <v>12</v>
      </c>
      <c r="J18" s="154" t="s">
        <v>279</v>
      </c>
      <c r="K18" s="154">
        <v>1</v>
      </c>
      <c r="L18" s="154">
        <v>0</v>
      </c>
      <c r="M18" s="18">
        <v>0</v>
      </c>
      <c r="N18" s="18">
        <v>1</v>
      </c>
      <c r="O18" s="18">
        <v>1</v>
      </c>
      <c r="P18" s="50">
        <f t="shared" si="1"/>
        <v>1</v>
      </c>
      <c r="Q18" s="133">
        <f t="shared" si="4"/>
        <v>1</v>
      </c>
      <c r="R18" s="50">
        <f t="shared" si="3"/>
        <v>1</v>
      </c>
      <c r="S18" s="18">
        <v>0</v>
      </c>
      <c r="T18" s="133">
        <v>0</v>
      </c>
      <c r="U18" s="50">
        <f>P18</f>
        <v>1</v>
      </c>
      <c r="V18" s="133">
        <f>Q18</f>
        <v>1</v>
      </c>
      <c r="W18" s="50">
        <f t="shared" si="2"/>
        <v>1</v>
      </c>
      <c r="X18" s="18">
        <v>0</v>
      </c>
      <c r="Y18" s="18" t="s">
        <v>259</v>
      </c>
      <c r="Z18" s="177" t="s">
        <v>259</v>
      </c>
      <c r="AA18" s="160">
        <f>V18</f>
        <v>1</v>
      </c>
      <c r="AB18" s="176">
        <f>W18</f>
        <v>1</v>
      </c>
      <c r="AC18" s="170" t="s">
        <v>453</v>
      </c>
    </row>
    <row r="19" spans="1:31" s="20" customFormat="1" ht="120" customHeight="1" x14ac:dyDescent="0.25">
      <c r="A19" s="193"/>
      <c r="B19" s="192"/>
      <c r="C19" s="192"/>
      <c r="D19" s="192">
        <v>4</v>
      </c>
      <c r="E19" s="198" t="s">
        <v>280</v>
      </c>
      <c r="F19" s="192">
        <v>4</v>
      </c>
      <c r="G19" s="154" t="s">
        <v>281</v>
      </c>
      <c r="H19" s="155" t="s">
        <v>384</v>
      </c>
      <c r="I19" s="156" t="s">
        <v>3</v>
      </c>
      <c r="J19" s="154" t="s">
        <v>260</v>
      </c>
      <c r="K19" s="154">
        <v>17</v>
      </c>
      <c r="L19" s="154">
        <v>3</v>
      </c>
      <c r="M19" s="18">
        <v>7</v>
      </c>
      <c r="N19" s="18">
        <v>3</v>
      </c>
      <c r="O19" s="18">
        <v>2</v>
      </c>
      <c r="P19" s="50">
        <f t="shared" si="1"/>
        <v>0.66666666666666663</v>
      </c>
      <c r="Q19" s="133">
        <f>O19+M19</f>
        <v>9</v>
      </c>
      <c r="R19" s="50">
        <f t="shared" si="3"/>
        <v>0.52941176470588236</v>
      </c>
      <c r="S19" s="18">
        <v>11</v>
      </c>
      <c r="T19" s="133">
        <v>3</v>
      </c>
      <c r="U19" s="50">
        <f>T19/S19</f>
        <v>0.27272727272727271</v>
      </c>
      <c r="V19" s="133">
        <f>T19+Q19</f>
        <v>12</v>
      </c>
      <c r="W19" s="50">
        <f t="shared" si="2"/>
        <v>0.70588235294117652</v>
      </c>
      <c r="X19" s="18">
        <v>0</v>
      </c>
      <c r="Y19" s="18">
        <v>5</v>
      </c>
      <c r="Z19" s="177" t="s">
        <v>259</v>
      </c>
      <c r="AA19" s="160">
        <f>Y19+V19</f>
        <v>17</v>
      </c>
      <c r="AB19" s="176">
        <f t="shared" ref="AB19:AB31" si="5">AA19/K19</f>
        <v>1</v>
      </c>
      <c r="AC19" s="170" t="s">
        <v>427</v>
      </c>
    </row>
    <row r="20" spans="1:31" s="20" customFormat="1" ht="120" customHeight="1" x14ac:dyDescent="0.25">
      <c r="A20" s="193"/>
      <c r="B20" s="192"/>
      <c r="C20" s="192"/>
      <c r="D20" s="192"/>
      <c r="E20" s="198"/>
      <c r="F20" s="192"/>
      <c r="G20" s="154" t="s">
        <v>281</v>
      </c>
      <c r="H20" s="155" t="s">
        <v>16</v>
      </c>
      <c r="I20" s="156" t="s">
        <v>3</v>
      </c>
      <c r="J20" s="154" t="s">
        <v>260</v>
      </c>
      <c r="K20" s="154">
        <v>71</v>
      </c>
      <c r="L20" s="154">
        <v>0</v>
      </c>
      <c r="M20" s="18">
        <v>4</v>
      </c>
      <c r="N20" s="18">
        <v>25</v>
      </c>
      <c r="O20" s="18">
        <v>39</v>
      </c>
      <c r="P20" s="50">
        <f t="shared" si="1"/>
        <v>1.56</v>
      </c>
      <c r="Q20" s="133">
        <f>O20+M20</f>
        <v>43</v>
      </c>
      <c r="R20" s="50">
        <f t="shared" si="3"/>
        <v>0.60563380281690138</v>
      </c>
      <c r="S20" s="18">
        <v>46</v>
      </c>
      <c r="T20" s="133">
        <v>44</v>
      </c>
      <c r="U20" s="50">
        <f>T20/S20</f>
        <v>0.95652173913043481</v>
      </c>
      <c r="V20" s="133">
        <f>T20+Q20</f>
        <v>87</v>
      </c>
      <c r="W20" s="50">
        <f t="shared" si="2"/>
        <v>1.2253521126760563</v>
      </c>
      <c r="X20" s="18" t="s">
        <v>259</v>
      </c>
      <c r="Y20" s="18" t="s">
        <v>259</v>
      </c>
      <c r="Z20" s="177" t="s">
        <v>259</v>
      </c>
      <c r="AA20" s="160">
        <v>96</v>
      </c>
      <c r="AB20" s="176">
        <f t="shared" si="5"/>
        <v>1.352112676056338</v>
      </c>
      <c r="AC20" s="170" t="s">
        <v>428</v>
      </c>
    </row>
    <row r="21" spans="1:31" s="20" customFormat="1" ht="120" customHeight="1" x14ac:dyDescent="0.25">
      <c r="A21" s="193"/>
      <c r="B21" s="192"/>
      <c r="C21" s="192"/>
      <c r="D21" s="154">
        <v>5</v>
      </c>
      <c r="E21" s="155" t="s">
        <v>17</v>
      </c>
      <c r="F21" s="154">
        <v>5</v>
      </c>
      <c r="G21" s="154" t="s">
        <v>283</v>
      </c>
      <c r="H21" s="155" t="s">
        <v>18</v>
      </c>
      <c r="I21" s="156" t="s">
        <v>124</v>
      </c>
      <c r="J21" s="49">
        <v>1</v>
      </c>
      <c r="K21" s="49">
        <v>1</v>
      </c>
      <c r="L21" s="49">
        <v>1</v>
      </c>
      <c r="M21" s="21">
        <v>0.56000000000000005</v>
      </c>
      <c r="N21" s="21">
        <v>1</v>
      </c>
      <c r="O21" s="21">
        <v>1</v>
      </c>
      <c r="P21" s="50">
        <f t="shared" si="1"/>
        <v>1</v>
      </c>
      <c r="Q21" s="50">
        <f t="shared" ref="Q21:Q31" si="6">O21</f>
        <v>1</v>
      </c>
      <c r="R21" s="50">
        <f t="shared" si="3"/>
        <v>1</v>
      </c>
      <c r="S21" s="21">
        <v>1</v>
      </c>
      <c r="T21" s="50">
        <v>1</v>
      </c>
      <c r="U21" s="50">
        <f>T21/S21</f>
        <v>1</v>
      </c>
      <c r="V21" s="50">
        <f t="shared" ref="V21:V31" si="7">T21</f>
        <v>1</v>
      </c>
      <c r="W21" s="50">
        <f t="shared" si="2"/>
        <v>1</v>
      </c>
      <c r="X21" s="21">
        <v>1</v>
      </c>
      <c r="Y21" s="21">
        <v>0.19</v>
      </c>
      <c r="Z21" s="179">
        <f>Y21/X21</f>
        <v>0.19</v>
      </c>
      <c r="AA21" s="164">
        <f>Y21</f>
        <v>0.19</v>
      </c>
      <c r="AB21" s="174">
        <f t="shared" si="5"/>
        <v>0.19</v>
      </c>
      <c r="AC21" s="170" t="s">
        <v>452</v>
      </c>
    </row>
    <row r="22" spans="1:31" s="20" customFormat="1" ht="120" customHeight="1" x14ac:dyDescent="0.25">
      <c r="A22" s="220">
        <v>3</v>
      </c>
      <c r="B22" s="221" t="s">
        <v>19</v>
      </c>
      <c r="C22" s="192" t="s">
        <v>256</v>
      </c>
      <c r="D22" s="192">
        <v>1</v>
      </c>
      <c r="E22" s="198" t="s">
        <v>284</v>
      </c>
      <c r="F22" s="192">
        <v>1</v>
      </c>
      <c r="G22" s="192" t="s">
        <v>285</v>
      </c>
      <c r="H22" s="155" t="s">
        <v>134</v>
      </c>
      <c r="I22" s="156" t="s">
        <v>133</v>
      </c>
      <c r="J22" s="154">
        <v>3.8</v>
      </c>
      <c r="K22" s="154">
        <v>4.2</v>
      </c>
      <c r="L22" s="154" t="s">
        <v>259</v>
      </c>
      <c r="M22" s="18">
        <v>0</v>
      </c>
      <c r="N22" s="30">
        <v>4</v>
      </c>
      <c r="O22" s="30">
        <v>3.8</v>
      </c>
      <c r="P22" s="50">
        <f t="shared" si="1"/>
        <v>0.95</v>
      </c>
      <c r="Q22" s="30">
        <f t="shared" si="6"/>
        <v>3.8</v>
      </c>
      <c r="R22" s="50">
        <f t="shared" si="3"/>
        <v>0.90476190476190466</v>
      </c>
      <c r="S22" s="30" t="s">
        <v>259</v>
      </c>
      <c r="T22" s="30">
        <f>Q22</f>
        <v>3.8</v>
      </c>
      <c r="U22" s="50">
        <f t="shared" ref="U22:U23" si="8">T22/K22</f>
        <v>0.90476190476190466</v>
      </c>
      <c r="V22" s="30">
        <f t="shared" si="7"/>
        <v>3.8</v>
      </c>
      <c r="W22" s="50">
        <f t="shared" si="2"/>
        <v>0.90476190476190466</v>
      </c>
      <c r="X22" s="18">
        <v>4.2</v>
      </c>
      <c r="Y22" s="18" t="s">
        <v>259</v>
      </c>
      <c r="Z22" s="177" t="s">
        <v>259</v>
      </c>
      <c r="AA22" s="151">
        <f>T22</f>
        <v>3.8</v>
      </c>
      <c r="AB22" s="129">
        <f t="shared" si="5"/>
        <v>0.90476190476190466</v>
      </c>
      <c r="AC22" s="222" t="s">
        <v>414</v>
      </c>
    </row>
    <row r="23" spans="1:31" s="20" customFormat="1" ht="120" customHeight="1" x14ac:dyDescent="0.25">
      <c r="A23" s="220"/>
      <c r="B23" s="221"/>
      <c r="C23" s="192"/>
      <c r="D23" s="192"/>
      <c r="E23" s="198"/>
      <c r="F23" s="192"/>
      <c r="G23" s="192"/>
      <c r="H23" s="155" t="s">
        <v>287</v>
      </c>
      <c r="I23" s="156" t="s">
        <v>133</v>
      </c>
      <c r="J23" s="154">
        <v>4.2</v>
      </c>
      <c r="K23" s="154">
        <v>4.4000000000000004</v>
      </c>
      <c r="L23" s="154" t="s">
        <v>259</v>
      </c>
      <c r="M23" s="18">
        <v>0</v>
      </c>
      <c r="N23" s="30">
        <v>4.3</v>
      </c>
      <c r="O23" s="30">
        <v>3.9</v>
      </c>
      <c r="P23" s="50">
        <f t="shared" si="1"/>
        <v>0.90697674418604657</v>
      </c>
      <c r="Q23" s="30">
        <f t="shared" si="6"/>
        <v>3.9</v>
      </c>
      <c r="R23" s="50">
        <f t="shared" si="3"/>
        <v>0.88636363636363624</v>
      </c>
      <c r="S23" s="30" t="s">
        <v>279</v>
      </c>
      <c r="T23" s="30">
        <f>Q23</f>
        <v>3.9</v>
      </c>
      <c r="U23" s="50">
        <f t="shared" si="8"/>
        <v>0.88636363636363624</v>
      </c>
      <c r="V23" s="30">
        <f t="shared" si="7"/>
        <v>3.9</v>
      </c>
      <c r="W23" s="50">
        <f>V23/K23</f>
        <v>0.88636363636363624</v>
      </c>
      <c r="X23" s="18">
        <v>4.4000000000000004</v>
      </c>
      <c r="Y23" s="18" t="s">
        <v>259</v>
      </c>
      <c r="Z23" s="177" t="s">
        <v>259</v>
      </c>
      <c r="AA23" s="151">
        <f>T23</f>
        <v>3.9</v>
      </c>
      <c r="AB23" s="129">
        <f t="shared" si="5"/>
        <v>0.88636363636363624</v>
      </c>
      <c r="AC23" s="222" t="s">
        <v>415</v>
      </c>
    </row>
    <row r="24" spans="1:31" s="20" customFormat="1" ht="120" x14ac:dyDescent="0.25">
      <c r="A24" s="220"/>
      <c r="B24" s="221"/>
      <c r="C24" s="192"/>
      <c r="D24" s="192"/>
      <c r="E24" s="198"/>
      <c r="F24" s="192"/>
      <c r="G24" s="192"/>
      <c r="H24" s="155" t="s">
        <v>21</v>
      </c>
      <c r="I24" s="156" t="s">
        <v>133</v>
      </c>
      <c r="J24" s="54">
        <v>1300</v>
      </c>
      <c r="K24" s="54">
        <v>7300</v>
      </c>
      <c r="L24" s="54">
        <v>2800</v>
      </c>
      <c r="M24" s="26">
        <v>2800</v>
      </c>
      <c r="N24" s="26">
        <v>4300</v>
      </c>
      <c r="O24" s="26">
        <v>4300</v>
      </c>
      <c r="P24" s="50">
        <f t="shared" si="1"/>
        <v>1</v>
      </c>
      <c r="Q24" s="26">
        <f t="shared" si="6"/>
        <v>4300</v>
      </c>
      <c r="R24" s="50">
        <f t="shared" si="3"/>
        <v>0.58904109589041098</v>
      </c>
      <c r="S24" s="26">
        <v>5800</v>
      </c>
      <c r="T24" s="26">
        <v>6197</v>
      </c>
      <c r="U24" s="50">
        <f>(T24-J24)/(S24-J24)</f>
        <v>1.0882222222222222</v>
      </c>
      <c r="V24" s="26">
        <f t="shared" si="7"/>
        <v>6197</v>
      </c>
      <c r="W24" s="50">
        <f>(V24-J24)/(K24-J24)</f>
        <v>0.81616666666666671</v>
      </c>
      <c r="X24" s="26">
        <v>7300</v>
      </c>
      <c r="Y24" s="26">
        <v>7300</v>
      </c>
      <c r="Z24" s="129">
        <f>Y24/X24</f>
        <v>1</v>
      </c>
      <c r="AA24" s="26">
        <f>Y24</f>
        <v>7300</v>
      </c>
      <c r="AB24" s="129">
        <f t="shared" si="5"/>
        <v>1</v>
      </c>
      <c r="AC24" s="170" t="s">
        <v>417</v>
      </c>
    </row>
    <row r="25" spans="1:31" s="20" customFormat="1" ht="120" customHeight="1" x14ac:dyDescent="0.25">
      <c r="A25" s="220"/>
      <c r="B25" s="221"/>
      <c r="C25" s="192"/>
      <c r="D25" s="192"/>
      <c r="E25" s="198"/>
      <c r="F25" s="192"/>
      <c r="G25" s="192"/>
      <c r="H25" s="155" t="s">
        <v>288</v>
      </c>
      <c r="I25" s="156" t="s">
        <v>124</v>
      </c>
      <c r="J25" s="54">
        <v>970000</v>
      </c>
      <c r="K25" s="54">
        <v>4555000</v>
      </c>
      <c r="L25" s="54">
        <v>750000</v>
      </c>
      <c r="M25" s="26">
        <v>1700038</v>
      </c>
      <c r="N25" s="26">
        <v>2955000</v>
      </c>
      <c r="O25" s="26">
        <v>2980751</v>
      </c>
      <c r="P25" s="50">
        <f t="shared" si="1"/>
        <v>1.0087143824027072</v>
      </c>
      <c r="Q25" s="26">
        <f t="shared" si="6"/>
        <v>2980751</v>
      </c>
      <c r="R25" s="50">
        <f t="shared" si="3"/>
        <v>0.65439099890230512</v>
      </c>
      <c r="S25" s="26">
        <v>3755000</v>
      </c>
      <c r="T25" s="26">
        <v>4018841</v>
      </c>
      <c r="U25" s="50">
        <f>T25/S25</f>
        <v>1.070263914780293</v>
      </c>
      <c r="V25" s="26">
        <f t="shared" si="7"/>
        <v>4018841</v>
      </c>
      <c r="W25" s="50">
        <f>V25/K25</f>
        <v>0.88229220636663008</v>
      </c>
      <c r="X25" s="26">
        <v>4555000</v>
      </c>
      <c r="Y25" s="26">
        <v>4469601</v>
      </c>
      <c r="Z25" s="131">
        <f>Y25/X25</f>
        <v>0.98125159165751918</v>
      </c>
      <c r="AA25" s="152">
        <f>Y25</f>
        <v>4469601</v>
      </c>
      <c r="AB25" s="174">
        <f t="shared" si="5"/>
        <v>0.98125159165751918</v>
      </c>
      <c r="AC25" s="170" t="s">
        <v>426</v>
      </c>
    </row>
    <row r="26" spans="1:31" s="20" customFormat="1" ht="120" customHeight="1" x14ac:dyDescent="0.25">
      <c r="A26" s="220"/>
      <c r="B26" s="221"/>
      <c r="C26" s="192"/>
      <c r="D26" s="192"/>
      <c r="E26" s="198"/>
      <c r="F26" s="192"/>
      <c r="G26" s="192"/>
      <c r="H26" s="155" t="s">
        <v>290</v>
      </c>
      <c r="I26" s="156" t="s">
        <v>133</v>
      </c>
      <c r="J26" s="54" t="s">
        <v>259</v>
      </c>
      <c r="K26" s="54">
        <v>1100</v>
      </c>
      <c r="L26" s="54">
        <v>543</v>
      </c>
      <c r="M26" s="26">
        <v>543</v>
      </c>
      <c r="N26" s="26">
        <v>730</v>
      </c>
      <c r="O26" s="26">
        <v>730</v>
      </c>
      <c r="P26" s="50">
        <f t="shared" si="1"/>
        <v>1</v>
      </c>
      <c r="Q26" s="26">
        <f t="shared" si="6"/>
        <v>730</v>
      </c>
      <c r="R26" s="50">
        <f t="shared" si="3"/>
        <v>0.66363636363636369</v>
      </c>
      <c r="S26" s="26">
        <v>915</v>
      </c>
      <c r="T26" s="26">
        <f>Q26+185</f>
        <v>915</v>
      </c>
      <c r="U26" s="50">
        <f>T26/S26</f>
        <v>1</v>
      </c>
      <c r="V26" s="26">
        <f t="shared" si="7"/>
        <v>915</v>
      </c>
      <c r="W26" s="50">
        <f>V26/K26</f>
        <v>0.83181818181818179</v>
      </c>
      <c r="X26" s="26">
        <v>1100</v>
      </c>
      <c r="Y26" s="26">
        <f>V26+26</f>
        <v>941</v>
      </c>
      <c r="Z26" s="129">
        <f>Y26/X26</f>
        <v>0.85545454545454547</v>
      </c>
      <c r="AA26" s="152">
        <f>Y26</f>
        <v>941</v>
      </c>
      <c r="AB26" s="129">
        <f>AA26/K26</f>
        <v>0.85545454545454547</v>
      </c>
      <c r="AC26" s="170" t="s">
        <v>440</v>
      </c>
    </row>
    <row r="27" spans="1:31" s="20" customFormat="1" ht="120" customHeight="1" x14ac:dyDescent="0.25">
      <c r="A27" s="220"/>
      <c r="B27" s="221"/>
      <c r="C27" s="192"/>
      <c r="D27" s="192">
        <v>2</v>
      </c>
      <c r="E27" s="196" t="s">
        <v>23</v>
      </c>
      <c r="F27" s="192">
        <v>2</v>
      </c>
      <c r="G27" s="192" t="s">
        <v>292</v>
      </c>
      <c r="H27" s="155" t="s">
        <v>293</v>
      </c>
      <c r="I27" s="156" t="s">
        <v>5</v>
      </c>
      <c r="J27" s="54">
        <v>8</v>
      </c>
      <c r="K27" s="54">
        <v>32</v>
      </c>
      <c r="L27" s="54">
        <v>16</v>
      </c>
      <c r="M27" s="26">
        <v>16</v>
      </c>
      <c r="N27" s="26">
        <v>24</v>
      </c>
      <c r="O27" s="26">
        <v>45</v>
      </c>
      <c r="P27" s="50">
        <f t="shared" si="1"/>
        <v>1.875</v>
      </c>
      <c r="Q27" s="26">
        <f t="shared" si="6"/>
        <v>45</v>
      </c>
      <c r="R27" s="50">
        <f t="shared" si="3"/>
        <v>1.40625</v>
      </c>
      <c r="S27" s="26">
        <v>29</v>
      </c>
      <c r="T27" s="26">
        <f>Q27+56</f>
        <v>101</v>
      </c>
      <c r="U27" s="50">
        <f>T27/S27</f>
        <v>3.4827586206896552</v>
      </c>
      <c r="V27" s="26">
        <f t="shared" si="7"/>
        <v>101</v>
      </c>
      <c r="W27" s="50">
        <f>V27/K27</f>
        <v>3.15625</v>
      </c>
      <c r="X27" s="26" t="s">
        <v>259</v>
      </c>
      <c r="Y27" s="26" t="s">
        <v>259</v>
      </c>
      <c r="Z27" s="129" t="s">
        <v>259</v>
      </c>
      <c r="AA27" s="152">
        <f>V27</f>
        <v>101</v>
      </c>
      <c r="AB27" s="129">
        <f t="shared" si="5"/>
        <v>3.15625</v>
      </c>
      <c r="AC27" s="170" t="s">
        <v>412</v>
      </c>
    </row>
    <row r="28" spans="1:31" s="20" customFormat="1" ht="120" customHeight="1" x14ac:dyDescent="0.25">
      <c r="A28" s="220"/>
      <c r="B28" s="221"/>
      <c r="C28" s="192"/>
      <c r="D28" s="192"/>
      <c r="E28" s="196"/>
      <c r="F28" s="192"/>
      <c r="G28" s="192"/>
      <c r="H28" s="155" t="s">
        <v>24</v>
      </c>
      <c r="I28" s="156" t="s">
        <v>6</v>
      </c>
      <c r="J28" s="54">
        <v>2048</v>
      </c>
      <c r="K28" s="54">
        <v>14296</v>
      </c>
      <c r="L28" s="54">
        <v>4251</v>
      </c>
      <c r="M28" s="26">
        <v>4664</v>
      </c>
      <c r="N28" s="26">
        <v>6571</v>
      </c>
      <c r="O28" s="26">
        <v>7943</v>
      </c>
      <c r="P28" s="50">
        <f t="shared" si="1"/>
        <v>1.2087962258408158</v>
      </c>
      <c r="Q28" s="26">
        <f t="shared" si="6"/>
        <v>7943</v>
      </c>
      <c r="R28" s="50">
        <f t="shared" si="3"/>
        <v>0.55560996082820369</v>
      </c>
      <c r="S28" s="26">
        <v>11734</v>
      </c>
      <c r="T28" s="26">
        <v>13037</v>
      </c>
      <c r="U28" s="50">
        <f>(T28-J28)/(S28-J28)</f>
        <v>1.1345240553376006</v>
      </c>
      <c r="V28" s="26">
        <f t="shared" si="7"/>
        <v>13037</v>
      </c>
      <c r="W28" s="50">
        <f>(V28-J28)/(K28-J28)</f>
        <v>0.89720770738079691</v>
      </c>
      <c r="X28" s="26">
        <v>14296</v>
      </c>
      <c r="Y28" s="26">
        <v>14296</v>
      </c>
      <c r="Z28" s="129">
        <f>Y28/X28</f>
        <v>1</v>
      </c>
      <c r="AA28" s="26">
        <f>Y28</f>
        <v>14296</v>
      </c>
      <c r="AB28" s="129">
        <f t="shared" si="5"/>
        <v>1</v>
      </c>
      <c r="AC28" s="170" t="s">
        <v>419</v>
      </c>
    </row>
    <row r="29" spans="1:31" s="20" customFormat="1" ht="120" customHeight="1" x14ac:dyDescent="0.25">
      <c r="A29" s="220"/>
      <c r="B29" s="221"/>
      <c r="C29" s="192"/>
      <c r="D29" s="192"/>
      <c r="E29" s="196"/>
      <c r="F29" s="192"/>
      <c r="G29" s="192"/>
      <c r="H29" s="155" t="s">
        <v>295</v>
      </c>
      <c r="I29" s="156" t="s">
        <v>6</v>
      </c>
      <c r="J29" s="54">
        <v>162140</v>
      </c>
      <c r="K29" s="54">
        <v>250000</v>
      </c>
      <c r="L29" s="54">
        <v>201000</v>
      </c>
      <c r="M29" s="26">
        <v>187566</v>
      </c>
      <c r="N29" s="26">
        <v>211000</v>
      </c>
      <c r="O29" s="26">
        <v>212695</v>
      </c>
      <c r="P29" s="50">
        <f t="shared" si="1"/>
        <v>1.0080331753554503</v>
      </c>
      <c r="Q29" s="26">
        <f t="shared" si="6"/>
        <v>212695</v>
      </c>
      <c r="R29" s="50">
        <f t="shared" si="3"/>
        <v>0.85077999999999998</v>
      </c>
      <c r="S29" s="26">
        <v>231000</v>
      </c>
      <c r="T29" s="26">
        <v>243825</v>
      </c>
      <c r="U29" s="50">
        <f>(T29-J29)/(S29-J29)</f>
        <v>1.1862474586116758</v>
      </c>
      <c r="V29" s="26">
        <f t="shared" si="7"/>
        <v>243825</v>
      </c>
      <c r="W29" s="50">
        <f>(V29-J29)/(K29-J29)</f>
        <v>0.92971773275665837</v>
      </c>
      <c r="X29" s="26">
        <v>250000</v>
      </c>
      <c r="Y29" s="26">
        <v>262343</v>
      </c>
      <c r="Z29" s="129">
        <f>Y29/X29</f>
        <v>1.049372</v>
      </c>
      <c r="AA29" s="26">
        <f>Y29</f>
        <v>262343</v>
      </c>
      <c r="AB29" s="129">
        <f t="shared" si="5"/>
        <v>1.049372</v>
      </c>
      <c r="AC29" s="223" t="s">
        <v>420</v>
      </c>
      <c r="AD29" s="119"/>
      <c r="AE29" s="119"/>
    </row>
    <row r="30" spans="1:31" s="20" customFormat="1" ht="120" customHeight="1" x14ac:dyDescent="0.25">
      <c r="A30" s="220"/>
      <c r="B30" s="221"/>
      <c r="C30" s="192"/>
      <c r="D30" s="192"/>
      <c r="E30" s="196"/>
      <c r="F30" s="192"/>
      <c r="G30" s="192"/>
      <c r="H30" s="155" t="s">
        <v>296</v>
      </c>
      <c r="I30" s="156" t="s">
        <v>382</v>
      </c>
      <c r="J30" s="154">
        <v>217</v>
      </c>
      <c r="K30" s="154">
        <v>317</v>
      </c>
      <c r="L30" s="154">
        <v>4</v>
      </c>
      <c r="M30" s="18">
        <v>16</v>
      </c>
      <c r="N30" s="18">
        <v>76</v>
      </c>
      <c r="O30" s="18">
        <v>76</v>
      </c>
      <c r="P30" s="50">
        <f t="shared" si="1"/>
        <v>1</v>
      </c>
      <c r="Q30" s="133">
        <f t="shared" si="6"/>
        <v>76</v>
      </c>
      <c r="R30" s="50">
        <f t="shared" si="3"/>
        <v>0.23974763406940064</v>
      </c>
      <c r="S30" s="18">
        <v>150</v>
      </c>
      <c r="T30" s="26">
        <f>+Q30+167</f>
        <v>243</v>
      </c>
      <c r="U30" s="50">
        <f>T30/S30</f>
        <v>1.62</v>
      </c>
      <c r="V30" s="26">
        <f t="shared" si="7"/>
        <v>243</v>
      </c>
      <c r="W30" s="50">
        <f t="shared" ref="W30:W39" si="9">V30/K30</f>
        <v>0.7665615141955836</v>
      </c>
      <c r="X30" s="18">
        <v>317</v>
      </c>
      <c r="Y30" s="18">
        <f>V30+58</f>
        <v>301</v>
      </c>
      <c r="Z30" s="129">
        <f>Y30/X30</f>
        <v>0.94952681388012616</v>
      </c>
      <c r="AA30" s="160">
        <f>Y30</f>
        <v>301</v>
      </c>
      <c r="AB30" s="129">
        <f t="shared" si="5"/>
        <v>0.94952681388012616</v>
      </c>
      <c r="AC30" s="170" t="s">
        <v>454</v>
      </c>
    </row>
    <row r="31" spans="1:31" s="20" customFormat="1" ht="120" customHeight="1" x14ac:dyDescent="0.25">
      <c r="A31" s="220"/>
      <c r="B31" s="221"/>
      <c r="C31" s="192"/>
      <c r="D31" s="192"/>
      <c r="E31" s="196"/>
      <c r="F31" s="192"/>
      <c r="G31" s="192"/>
      <c r="H31" s="155" t="s">
        <v>27</v>
      </c>
      <c r="I31" s="156" t="s">
        <v>382</v>
      </c>
      <c r="J31" s="154" t="s">
        <v>279</v>
      </c>
      <c r="K31" s="154">
        <v>41</v>
      </c>
      <c r="L31" s="154">
        <v>10</v>
      </c>
      <c r="M31" s="18">
        <v>10</v>
      </c>
      <c r="N31" s="18">
        <v>20</v>
      </c>
      <c r="O31" s="18">
        <v>20</v>
      </c>
      <c r="P31" s="50">
        <f t="shared" si="1"/>
        <v>1</v>
      </c>
      <c r="Q31" s="133">
        <f t="shared" si="6"/>
        <v>20</v>
      </c>
      <c r="R31" s="50">
        <f t="shared" si="3"/>
        <v>0.48780487804878048</v>
      </c>
      <c r="S31" s="18">
        <v>41</v>
      </c>
      <c r="T31" s="26">
        <f>Q31+21</f>
        <v>41</v>
      </c>
      <c r="U31" s="50">
        <f>T31/S31</f>
        <v>1</v>
      </c>
      <c r="V31" s="26">
        <f t="shared" si="7"/>
        <v>41</v>
      </c>
      <c r="W31" s="50">
        <f t="shared" si="9"/>
        <v>1</v>
      </c>
      <c r="X31" s="18">
        <v>41</v>
      </c>
      <c r="Y31" s="18">
        <f>V31</f>
        <v>41</v>
      </c>
      <c r="Z31" s="129">
        <f>Y31/X31</f>
        <v>1</v>
      </c>
      <c r="AA31" s="160">
        <f>Y31</f>
        <v>41</v>
      </c>
      <c r="AB31" s="129">
        <f t="shared" si="5"/>
        <v>1</v>
      </c>
      <c r="AC31" s="170" t="s">
        <v>412</v>
      </c>
    </row>
    <row r="32" spans="1:31" s="20" customFormat="1" ht="120" customHeight="1" x14ac:dyDescent="0.25">
      <c r="A32" s="220"/>
      <c r="B32" s="221"/>
      <c r="C32" s="192"/>
      <c r="D32" s="192"/>
      <c r="E32" s="196"/>
      <c r="F32" s="192"/>
      <c r="G32" s="192"/>
      <c r="H32" s="155" t="s">
        <v>376</v>
      </c>
      <c r="I32" s="156" t="s">
        <v>12</v>
      </c>
      <c r="J32" s="154" t="s">
        <v>279</v>
      </c>
      <c r="K32" s="154">
        <v>1</v>
      </c>
      <c r="L32" s="154">
        <v>1</v>
      </c>
      <c r="M32" s="18">
        <v>1</v>
      </c>
      <c r="N32" s="18">
        <v>0</v>
      </c>
      <c r="O32" s="18">
        <v>0</v>
      </c>
      <c r="P32" s="50" t="s">
        <v>259</v>
      </c>
      <c r="Q32" s="133">
        <f>M32</f>
        <v>1</v>
      </c>
      <c r="R32" s="50">
        <f t="shared" si="3"/>
        <v>1</v>
      </c>
      <c r="S32" s="18">
        <v>0</v>
      </c>
      <c r="T32" s="26" t="s">
        <v>259</v>
      </c>
      <c r="U32" s="50">
        <f>R32</f>
        <v>1</v>
      </c>
      <c r="V32" s="133">
        <f>Q32</f>
        <v>1</v>
      </c>
      <c r="W32" s="50">
        <f t="shared" si="9"/>
        <v>1</v>
      </c>
      <c r="X32" s="18">
        <v>0</v>
      </c>
      <c r="Y32" s="18" t="s">
        <v>259</v>
      </c>
      <c r="Z32" s="129" t="s">
        <v>259</v>
      </c>
      <c r="AA32" s="160">
        <f>V32</f>
        <v>1</v>
      </c>
      <c r="AB32" s="129">
        <f>W32</f>
        <v>1</v>
      </c>
      <c r="AC32" s="170" t="s">
        <v>410</v>
      </c>
    </row>
    <row r="33" spans="1:29" s="20" customFormat="1" ht="120" customHeight="1" x14ac:dyDescent="0.25">
      <c r="A33" s="220"/>
      <c r="B33" s="221"/>
      <c r="C33" s="192"/>
      <c r="D33" s="154">
        <v>3</v>
      </c>
      <c r="E33" s="155" t="s">
        <v>29</v>
      </c>
      <c r="F33" s="154">
        <v>3</v>
      </c>
      <c r="G33" s="154" t="s">
        <v>300</v>
      </c>
      <c r="H33" s="155" t="s">
        <v>30</v>
      </c>
      <c r="I33" s="156" t="s">
        <v>382</v>
      </c>
      <c r="J33" s="54">
        <v>1100000</v>
      </c>
      <c r="K33" s="54">
        <v>5700000</v>
      </c>
      <c r="L33" s="54">
        <v>2000000</v>
      </c>
      <c r="M33" s="26">
        <v>2211031</v>
      </c>
      <c r="N33" s="26">
        <v>3800000</v>
      </c>
      <c r="O33" s="26">
        <v>3836449</v>
      </c>
      <c r="P33" s="50">
        <f t="shared" si="1"/>
        <v>1.0095918421052632</v>
      </c>
      <c r="Q33" s="26">
        <f>O33</f>
        <v>3836449</v>
      </c>
      <c r="R33" s="50">
        <f t="shared" si="3"/>
        <v>0.67306122807017543</v>
      </c>
      <c r="S33" s="26">
        <v>4700000</v>
      </c>
      <c r="T33" s="26">
        <v>4705915</v>
      </c>
      <c r="U33" s="50">
        <f t="shared" ref="U33:U39" si="10">T33/S33</f>
        <v>1.0012585106382978</v>
      </c>
      <c r="V33" s="26">
        <f>T33</f>
        <v>4705915</v>
      </c>
      <c r="W33" s="50">
        <f t="shared" si="9"/>
        <v>0.82559912280701753</v>
      </c>
      <c r="X33" s="26">
        <v>5700000</v>
      </c>
      <c r="Y33" s="26">
        <f>V33+347297</f>
        <v>5053212</v>
      </c>
      <c r="Z33" s="129">
        <f>Y33/X33</f>
        <v>0.88652842105263163</v>
      </c>
      <c r="AA33" s="150">
        <f>Y33</f>
        <v>5053212</v>
      </c>
      <c r="AB33" s="129">
        <f t="shared" ref="AB33:AB49" si="11">AA33/K33</f>
        <v>0.88652842105263163</v>
      </c>
      <c r="AC33" s="170" t="s">
        <v>455</v>
      </c>
    </row>
    <row r="34" spans="1:29" s="20" customFormat="1" ht="120" customHeight="1" x14ac:dyDescent="0.25">
      <c r="A34" s="220"/>
      <c r="B34" s="221"/>
      <c r="C34" s="192"/>
      <c r="D34" s="192">
        <v>4</v>
      </c>
      <c r="E34" s="198" t="s">
        <v>31</v>
      </c>
      <c r="F34" s="192">
        <v>4</v>
      </c>
      <c r="G34" s="192" t="s">
        <v>302</v>
      </c>
      <c r="H34" s="155" t="s">
        <v>132</v>
      </c>
      <c r="I34" s="156" t="s">
        <v>382</v>
      </c>
      <c r="J34" s="54" t="s">
        <v>259</v>
      </c>
      <c r="K34" s="54">
        <v>1000</v>
      </c>
      <c r="L34" s="154">
        <v>250</v>
      </c>
      <c r="M34" s="18">
        <v>256</v>
      </c>
      <c r="N34" s="18">
        <v>250</v>
      </c>
      <c r="O34" s="18">
        <v>377</v>
      </c>
      <c r="P34" s="50">
        <f t="shared" si="1"/>
        <v>1.508</v>
      </c>
      <c r="Q34" s="133">
        <f>O34+M34</f>
        <v>633</v>
      </c>
      <c r="R34" s="50">
        <f t="shared" si="3"/>
        <v>0.63300000000000001</v>
      </c>
      <c r="S34" s="18">
        <v>250</v>
      </c>
      <c r="T34" s="26">
        <v>308</v>
      </c>
      <c r="U34" s="50">
        <f t="shared" si="10"/>
        <v>1.232</v>
      </c>
      <c r="V34" s="26">
        <f>T34+Q34</f>
        <v>941</v>
      </c>
      <c r="W34" s="50">
        <f t="shared" si="9"/>
        <v>0.94099999999999995</v>
      </c>
      <c r="X34" s="18">
        <v>250</v>
      </c>
      <c r="Y34" s="18">
        <v>0</v>
      </c>
      <c r="Z34" s="129">
        <f>Y34/X34</f>
        <v>0</v>
      </c>
      <c r="AA34" s="152">
        <f>V34</f>
        <v>941</v>
      </c>
      <c r="AB34" s="129">
        <f t="shared" si="11"/>
        <v>0.94099999999999995</v>
      </c>
      <c r="AC34" s="170" t="s">
        <v>429</v>
      </c>
    </row>
    <row r="35" spans="1:29" s="20" customFormat="1" ht="120" customHeight="1" x14ac:dyDescent="0.25">
      <c r="A35" s="220"/>
      <c r="B35" s="221"/>
      <c r="C35" s="192"/>
      <c r="D35" s="192"/>
      <c r="E35" s="198"/>
      <c r="F35" s="192"/>
      <c r="G35" s="192"/>
      <c r="H35" s="155" t="s">
        <v>303</v>
      </c>
      <c r="I35" s="156" t="s">
        <v>32</v>
      </c>
      <c r="J35" s="54">
        <v>40</v>
      </c>
      <c r="K35" s="54">
        <v>200</v>
      </c>
      <c r="L35" s="54">
        <v>80</v>
      </c>
      <c r="M35" s="26">
        <v>104</v>
      </c>
      <c r="N35" s="26">
        <v>120</v>
      </c>
      <c r="O35" s="26">
        <v>125</v>
      </c>
      <c r="P35" s="50">
        <f t="shared" si="1"/>
        <v>1.0416666666666667</v>
      </c>
      <c r="Q35" s="26">
        <f t="shared" ref="Q35:Q40" si="12">O35</f>
        <v>125</v>
      </c>
      <c r="R35" s="50">
        <f t="shared" si="3"/>
        <v>0.625</v>
      </c>
      <c r="S35" s="54">
        <v>160</v>
      </c>
      <c r="T35" s="26">
        <f>Q35+97</f>
        <v>222</v>
      </c>
      <c r="U35" s="50">
        <f t="shared" si="10"/>
        <v>1.3875</v>
      </c>
      <c r="V35" s="26">
        <f t="shared" ref="V35:V40" si="13">T35</f>
        <v>222</v>
      </c>
      <c r="W35" s="50">
        <f t="shared" si="9"/>
        <v>1.1100000000000001</v>
      </c>
      <c r="X35" s="26">
        <v>200</v>
      </c>
      <c r="Y35" s="26">
        <f>V35+23</f>
        <v>245</v>
      </c>
      <c r="Z35" s="129">
        <f>Y35/X35</f>
        <v>1.2250000000000001</v>
      </c>
      <c r="AA35" s="152">
        <f>Y35</f>
        <v>245</v>
      </c>
      <c r="AB35" s="129">
        <f t="shared" si="11"/>
        <v>1.2250000000000001</v>
      </c>
      <c r="AC35" s="170" t="s">
        <v>477</v>
      </c>
    </row>
    <row r="36" spans="1:29" s="20" customFormat="1" ht="120" customHeight="1" x14ac:dyDescent="0.25">
      <c r="A36" s="220"/>
      <c r="B36" s="221"/>
      <c r="C36" s="192"/>
      <c r="D36" s="192"/>
      <c r="E36" s="198"/>
      <c r="F36" s="192"/>
      <c r="G36" s="192"/>
      <c r="H36" s="155" t="s">
        <v>304</v>
      </c>
      <c r="I36" s="156" t="s">
        <v>87</v>
      </c>
      <c r="J36" s="54">
        <v>130</v>
      </c>
      <c r="K36" s="54">
        <v>530</v>
      </c>
      <c r="L36" s="154">
        <v>230</v>
      </c>
      <c r="M36" s="18">
        <v>263</v>
      </c>
      <c r="N36" s="18">
        <v>330</v>
      </c>
      <c r="O36" s="18">
        <v>364</v>
      </c>
      <c r="P36" s="50">
        <f t="shared" si="1"/>
        <v>1.103030303030303</v>
      </c>
      <c r="Q36" s="133">
        <f t="shared" si="12"/>
        <v>364</v>
      </c>
      <c r="R36" s="50">
        <f t="shared" si="3"/>
        <v>0.68679245283018864</v>
      </c>
      <c r="S36" s="18">
        <v>430</v>
      </c>
      <c r="T36" s="26">
        <f>Q36+125</f>
        <v>489</v>
      </c>
      <c r="U36" s="50">
        <f t="shared" si="10"/>
        <v>1.1372093023255814</v>
      </c>
      <c r="V36" s="26">
        <f t="shared" si="13"/>
        <v>489</v>
      </c>
      <c r="W36" s="50">
        <f t="shared" si="9"/>
        <v>0.92264150943396228</v>
      </c>
      <c r="X36" s="18">
        <v>530</v>
      </c>
      <c r="Y36" s="18">
        <f>V36+53</f>
        <v>542</v>
      </c>
      <c r="Z36" s="129">
        <f>Y36/X36</f>
        <v>1.0226415094339623</v>
      </c>
      <c r="AA36" s="152">
        <f>Y36</f>
        <v>542</v>
      </c>
      <c r="AB36" s="129">
        <f t="shared" si="11"/>
        <v>1.0226415094339623</v>
      </c>
      <c r="AC36" s="170" t="s">
        <v>462</v>
      </c>
    </row>
    <row r="37" spans="1:29" s="20" customFormat="1" ht="120" customHeight="1" x14ac:dyDescent="0.25">
      <c r="A37" s="193">
        <v>4</v>
      </c>
      <c r="B37" s="192" t="s">
        <v>34</v>
      </c>
      <c r="C37" s="192" t="s">
        <v>256</v>
      </c>
      <c r="D37" s="154">
        <v>1</v>
      </c>
      <c r="E37" s="154" t="s">
        <v>306</v>
      </c>
      <c r="F37" s="154">
        <v>1</v>
      </c>
      <c r="G37" s="154" t="s">
        <v>281</v>
      </c>
      <c r="H37" s="155" t="s">
        <v>35</v>
      </c>
      <c r="I37" s="156" t="s">
        <v>3</v>
      </c>
      <c r="J37" s="154" t="s">
        <v>279</v>
      </c>
      <c r="K37" s="154">
        <v>6</v>
      </c>
      <c r="L37" s="154">
        <v>3</v>
      </c>
      <c r="M37" s="18">
        <v>2</v>
      </c>
      <c r="N37" s="18">
        <v>5</v>
      </c>
      <c r="O37" s="18">
        <v>5</v>
      </c>
      <c r="P37" s="50">
        <f t="shared" si="1"/>
        <v>1</v>
      </c>
      <c r="Q37" s="133">
        <f t="shared" si="12"/>
        <v>5</v>
      </c>
      <c r="R37" s="50">
        <f t="shared" si="3"/>
        <v>0.83333333333333337</v>
      </c>
      <c r="S37" s="18">
        <v>6</v>
      </c>
      <c r="T37" s="26">
        <v>6</v>
      </c>
      <c r="U37" s="50">
        <f t="shared" si="10"/>
        <v>1</v>
      </c>
      <c r="V37" s="26">
        <f t="shared" si="13"/>
        <v>6</v>
      </c>
      <c r="W37" s="50">
        <f t="shared" si="9"/>
        <v>1</v>
      </c>
      <c r="X37" s="18" t="s">
        <v>259</v>
      </c>
      <c r="Y37" s="18" t="s">
        <v>259</v>
      </c>
      <c r="Z37" s="129" t="s">
        <v>259</v>
      </c>
      <c r="AA37" s="152">
        <f>V37</f>
        <v>6</v>
      </c>
      <c r="AB37" s="176">
        <f t="shared" si="11"/>
        <v>1</v>
      </c>
      <c r="AC37" s="170" t="s">
        <v>412</v>
      </c>
    </row>
    <row r="38" spans="1:29" s="20" customFormat="1" ht="120" customHeight="1" x14ac:dyDescent="0.25">
      <c r="A38" s="193"/>
      <c r="B38" s="192"/>
      <c r="C38" s="192"/>
      <c r="D38" s="192">
        <v>2</v>
      </c>
      <c r="E38" s="198" t="s">
        <v>308</v>
      </c>
      <c r="F38" s="192">
        <v>2</v>
      </c>
      <c r="G38" s="154" t="s">
        <v>309</v>
      </c>
      <c r="H38" s="155" t="s">
        <v>37</v>
      </c>
      <c r="I38" s="156" t="s">
        <v>36</v>
      </c>
      <c r="J38" s="154" t="s">
        <v>260</v>
      </c>
      <c r="K38" s="56">
        <v>40000000000</v>
      </c>
      <c r="L38" s="56">
        <v>10000000000</v>
      </c>
      <c r="M38" s="32">
        <v>11359904293</v>
      </c>
      <c r="N38" s="32">
        <v>20000000000</v>
      </c>
      <c r="O38" s="32">
        <v>21607789924</v>
      </c>
      <c r="P38" s="50">
        <f t="shared" si="1"/>
        <v>1.0803894962</v>
      </c>
      <c r="Q38" s="32">
        <f t="shared" si="12"/>
        <v>21607789924</v>
      </c>
      <c r="R38" s="50">
        <f t="shared" si="3"/>
        <v>0.54019474810000001</v>
      </c>
      <c r="S38" s="32">
        <v>30000000000</v>
      </c>
      <c r="T38" s="26">
        <f>Q38+10454886251</f>
        <v>32062676175</v>
      </c>
      <c r="U38" s="50">
        <f t="shared" si="10"/>
        <v>1.0687558724999999</v>
      </c>
      <c r="V38" s="26">
        <f t="shared" si="13"/>
        <v>32062676175</v>
      </c>
      <c r="W38" s="50">
        <f t="shared" si="9"/>
        <v>0.801566904375</v>
      </c>
      <c r="X38" s="32">
        <v>40000000000</v>
      </c>
      <c r="Y38" s="32">
        <f>V38+26765867106</f>
        <v>58828543281</v>
      </c>
      <c r="Z38" s="129">
        <f>Y38/X38</f>
        <v>1.4707135820249999</v>
      </c>
      <c r="AA38" s="166">
        <f>Y38</f>
        <v>58828543281</v>
      </c>
      <c r="AB38" s="129">
        <f t="shared" si="11"/>
        <v>1.4707135820249999</v>
      </c>
      <c r="AC38" s="170" t="s">
        <v>461</v>
      </c>
    </row>
    <row r="39" spans="1:29" s="20" customFormat="1" ht="120" customHeight="1" x14ac:dyDescent="0.25">
      <c r="A39" s="193"/>
      <c r="B39" s="192"/>
      <c r="C39" s="192"/>
      <c r="D39" s="192"/>
      <c r="E39" s="198"/>
      <c r="F39" s="192"/>
      <c r="G39" s="154" t="s">
        <v>311</v>
      </c>
      <c r="H39" s="155" t="s">
        <v>312</v>
      </c>
      <c r="I39" s="156" t="s">
        <v>10</v>
      </c>
      <c r="J39" s="154">
        <v>20</v>
      </c>
      <c r="K39" s="154">
        <v>200</v>
      </c>
      <c r="L39" s="56">
        <v>70</v>
      </c>
      <c r="M39" s="32">
        <v>86</v>
      </c>
      <c r="N39" s="32">
        <v>100</v>
      </c>
      <c r="O39" s="32">
        <v>100</v>
      </c>
      <c r="P39" s="50">
        <f t="shared" si="1"/>
        <v>1</v>
      </c>
      <c r="Q39" s="32">
        <f t="shared" si="12"/>
        <v>100</v>
      </c>
      <c r="R39" s="50">
        <f t="shared" si="3"/>
        <v>0.5</v>
      </c>
      <c r="S39" s="32">
        <v>150</v>
      </c>
      <c r="T39" s="26">
        <v>153</v>
      </c>
      <c r="U39" s="50">
        <f t="shared" si="10"/>
        <v>1.02</v>
      </c>
      <c r="V39" s="26">
        <f t="shared" si="13"/>
        <v>153</v>
      </c>
      <c r="W39" s="50">
        <f t="shared" si="9"/>
        <v>0.76500000000000001</v>
      </c>
      <c r="X39" s="32">
        <v>200</v>
      </c>
      <c r="Y39" s="32">
        <v>174</v>
      </c>
      <c r="Z39" s="129">
        <f>Y39/X39</f>
        <v>0.87</v>
      </c>
      <c r="AA39" s="186">
        <f>Y39</f>
        <v>174</v>
      </c>
      <c r="AB39" s="129">
        <f t="shared" si="11"/>
        <v>0.87</v>
      </c>
      <c r="AC39" s="170" t="s">
        <v>446</v>
      </c>
    </row>
    <row r="40" spans="1:29" s="20" customFormat="1" ht="120" customHeight="1" x14ac:dyDescent="0.25">
      <c r="A40" s="193">
        <v>5</v>
      </c>
      <c r="B40" s="192" t="s">
        <v>38</v>
      </c>
      <c r="C40" s="192" t="s">
        <v>256</v>
      </c>
      <c r="D40" s="192">
        <v>1</v>
      </c>
      <c r="E40" s="198" t="s">
        <v>39</v>
      </c>
      <c r="F40" s="192">
        <v>1</v>
      </c>
      <c r="G40" s="192" t="s">
        <v>313</v>
      </c>
      <c r="H40" s="155" t="s">
        <v>314</v>
      </c>
      <c r="I40" s="156" t="s">
        <v>140</v>
      </c>
      <c r="J40" s="154">
        <v>59</v>
      </c>
      <c r="K40" s="154">
        <v>133</v>
      </c>
      <c r="L40" s="154">
        <v>81</v>
      </c>
      <c r="M40" s="18">
        <v>81</v>
      </c>
      <c r="N40" s="18">
        <v>98</v>
      </c>
      <c r="O40" s="18">
        <v>97</v>
      </c>
      <c r="P40" s="50">
        <f t="shared" si="1"/>
        <v>0.98979591836734693</v>
      </c>
      <c r="Q40" s="133">
        <f t="shared" si="12"/>
        <v>97</v>
      </c>
      <c r="R40" s="50">
        <f t="shared" si="3"/>
        <v>0.72932330827067671</v>
      </c>
      <c r="S40" s="18">
        <v>115</v>
      </c>
      <c r="T40" s="26">
        <v>119</v>
      </c>
      <c r="U40" s="50">
        <f>(T40-J40)/(S40-J40)</f>
        <v>1.0714285714285714</v>
      </c>
      <c r="V40" s="26">
        <f t="shared" si="13"/>
        <v>119</v>
      </c>
      <c r="W40" s="50">
        <f>(V40-J40)/(K40-J40)</f>
        <v>0.81081081081081086</v>
      </c>
      <c r="X40" s="18">
        <v>133</v>
      </c>
      <c r="Y40" s="18">
        <v>134</v>
      </c>
      <c r="Z40" s="129">
        <f t="shared" ref="Z40:Z45" si="14">Y40/X40</f>
        <v>1.0075187969924813</v>
      </c>
      <c r="AA40" s="160">
        <f t="shared" ref="AA40:AA45" si="15">Y40</f>
        <v>134</v>
      </c>
      <c r="AB40" s="129">
        <f t="shared" si="11"/>
        <v>1.0075187969924813</v>
      </c>
      <c r="AC40" s="170" t="s">
        <v>430</v>
      </c>
    </row>
    <row r="41" spans="1:29" s="20" customFormat="1" ht="120" customHeight="1" x14ac:dyDescent="0.25">
      <c r="A41" s="193"/>
      <c r="B41" s="192"/>
      <c r="C41" s="192"/>
      <c r="D41" s="192"/>
      <c r="E41" s="198"/>
      <c r="F41" s="192"/>
      <c r="G41" s="192"/>
      <c r="H41" s="155" t="s">
        <v>374</v>
      </c>
      <c r="I41" s="156" t="s">
        <v>142</v>
      </c>
      <c r="J41" s="154" t="s">
        <v>259</v>
      </c>
      <c r="K41" s="154">
        <v>1</v>
      </c>
      <c r="L41" s="154" t="s">
        <v>260</v>
      </c>
      <c r="M41" s="18" t="s">
        <v>259</v>
      </c>
      <c r="N41" s="18" t="s">
        <v>260</v>
      </c>
      <c r="O41" s="18" t="s">
        <v>259</v>
      </c>
      <c r="P41" s="50" t="s">
        <v>259</v>
      </c>
      <c r="Q41" s="50" t="s">
        <v>259</v>
      </c>
      <c r="R41" s="50" t="s">
        <v>259</v>
      </c>
      <c r="S41" s="18" t="s">
        <v>260</v>
      </c>
      <c r="T41" s="26" t="s">
        <v>259</v>
      </c>
      <c r="U41" s="50" t="s">
        <v>259</v>
      </c>
      <c r="V41" s="50" t="s">
        <v>259</v>
      </c>
      <c r="W41" s="50" t="s">
        <v>259</v>
      </c>
      <c r="X41" s="18">
        <v>1</v>
      </c>
      <c r="Y41" s="18">
        <v>0.5</v>
      </c>
      <c r="Z41" s="129">
        <f t="shared" si="14"/>
        <v>0.5</v>
      </c>
      <c r="AA41" s="160">
        <f t="shared" si="15"/>
        <v>0.5</v>
      </c>
      <c r="AB41" s="129">
        <f t="shared" si="11"/>
        <v>0.5</v>
      </c>
      <c r="AC41" s="170" t="s">
        <v>465</v>
      </c>
    </row>
    <row r="42" spans="1:29" s="20" customFormat="1" ht="120" customHeight="1" x14ac:dyDescent="0.25">
      <c r="A42" s="193"/>
      <c r="B42" s="192"/>
      <c r="C42" s="192"/>
      <c r="D42" s="192"/>
      <c r="E42" s="198"/>
      <c r="F42" s="192"/>
      <c r="G42" s="192"/>
      <c r="H42" s="155" t="s">
        <v>40</v>
      </c>
      <c r="I42" s="156" t="s">
        <v>142</v>
      </c>
      <c r="J42" s="154" t="s">
        <v>317</v>
      </c>
      <c r="K42" s="154">
        <v>328</v>
      </c>
      <c r="L42" s="154">
        <v>82</v>
      </c>
      <c r="M42" s="18">
        <v>82</v>
      </c>
      <c r="N42" s="18">
        <v>164</v>
      </c>
      <c r="O42" s="18">
        <v>164</v>
      </c>
      <c r="P42" s="50">
        <f t="shared" si="1"/>
        <v>1</v>
      </c>
      <c r="Q42" s="133">
        <f>O42</f>
        <v>164</v>
      </c>
      <c r="R42" s="50">
        <f t="shared" ref="R42:R76" si="16">Q42/K42</f>
        <v>0.5</v>
      </c>
      <c r="S42" s="18">
        <v>246</v>
      </c>
      <c r="T42" s="26">
        <f>Q42+82</f>
        <v>246</v>
      </c>
      <c r="U42" s="50">
        <f>T42/S42</f>
        <v>1</v>
      </c>
      <c r="V42" s="26">
        <f>T42</f>
        <v>246</v>
      </c>
      <c r="W42" s="50">
        <f>V42/K42</f>
        <v>0.75</v>
      </c>
      <c r="X42" s="18">
        <v>328</v>
      </c>
      <c r="Y42" s="18">
        <f>V42+42</f>
        <v>288</v>
      </c>
      <c r="Z42" s="129">
        <f t="shared" si="14"/>
        <v>0.87804878048780488</v>
      </c>
      <c r="AA42" s="160">
        <f t="shared" si="15"/>
        <v>288</v>
      </c>
      <c r="AB42" s="129">
        <f t="shared" si="11"/>
        <v>0.87804878048780488</v>
      </c>
      <c r="AC42" s="170" t="s">
        <v>466</v>
      </c>
    </row>
    <row r="43" spans="1:29" s="20" customFormat="1" ht="120" customHeight="1" x14ac:dyDescent="0.25">
      <c r="A43" s="193"/>
      <c r="B43" s="192"/>
      <c r="C43" s="192"/>
      <c r="D43" s="192">
        <v>2</v>
      </c>
      <c r="E43" s="196" t="s">
        <v>318</v>
      </c>
      <c r="F43" s="192">
        <v>2</v>
      </c>
      <c r="G43" s="192" t="s">
        <v>319</v>
      </c>
      <c r="H43" s="155" t="s">
        <v>42</v>
      </c>
      <c r="I43" s="156" t="s">
        <v>6</v>
      </c>
      <c r="J43" s="154" t="s">
        <v>260</v>
      </c>
      <c r="K43" s="154">
        <v>4</v>
      </c>
      <c r="L43" s="154">
        <v>1</v>
      </c>
      <c r="M43" s="18">
        <v>1</v>
      </c>
      <c r="N43" s="18">
        <v>2</v>
      </c>
      <c r="O43" s="18">
        <v>2</v>
      </c>
      <c r="P43" s="50">
        <f t="shared" si="1"/>
        <v>1</v>
      </c>
      <c r="Q43" s="133">
        <f>O43</f>
        <v>2</v>
      </c>
      <c r="R43" s="50">
        <f t="shared" si="16"/>
        <v>0.5</v>
      </c>
      <c r="S43" s="18">
        <v>3</v>
      </c>
      <c r="T43" s="26">
        <f>Q43+1</f>
        <v>3</v>
      </c>
      <c r="U43" s="50">
        <f>T43/S43</f>
        <v>1</v>
      </c>
      <c r="V43" s="26">
        <f>T43</f>
        <v>3</v>
      </c>
      <c r="W43" s="50">
        <f>V43/K43</f>
        <v>0.75</v>
      </c>
      <c r="X43" s="18">
        <v>4</v>
      </c>
      <c r="Y43" s="18">
        <v>4</v>
      </c>
      <c r="Z43" s="129">
        <f t="shared" si="14"/>
        <v>1</v>
      </c>
      <c r="AA43" s="26">
        <f t="shared" si="15"/>
        <v>4</v>
      </c>
      <c r="AB43" s="129">
        <f t="shared" si="11"/>
        <v>1</v>
      </c>
      <c r="AC43" s="170" t="s">
        <v>441</v>
      </c>
    </row>
    <row r="44" spans="1:29" s="20" customFormat="1" ht="120" customHeight="1" x14ac:dyDescent="0.25">
      <c r="A44" s="193"/>
      <c r="B44" s="192"/>
      <c r="C44" s="192"/>
      <c r="D44" s="192"/>
      <c r="E44" s="196"/>
      <c r="F44" s="192"/>
      <c r="G44" s="192"/>
      <c r="H44" s="155" t="s">
        <v>380</v>
      </c>
      <c r="I44" s="156" t="s">
        <v>6</v>
      </c>
      <c r="J44" s="54">
        <v>300</v>
      </c>
      <c r="K44" s="54">
        <v>1301</v>
      </c>
      <c r="L44" s="154">
        <v>100</v>
      </c>
      <c r="M44" s="18">
        <v>100</v>
      </c>
      <c r="N44" s="18">
        <v>240</v>
      </c>
      <c r="O44" s="18">
        <v>268</v>
      </c>
      <c r="P44" s="50">
        <f t="shared" si="1"/>
        <v>1.1166666666666667</v>
      </c>
      <c r="Q44" s="133">
        <f>O44</f>
        <v>268</v>
      </c>
      <c r="R44" s="50">
        <f t="shared" si="16"/>
        <v>0.20599538816295157</v>
      </c>
      <c r="S44" s="18">
        <v>742</v>
      </c>
      <c r="T44" s="26">
        <f>Q44+354</f>
        <v>622</v>
      </c>
      <c r="U44" s="50">
        <f>T44/S44</f>
        <v>0.83827493261455521</v>
      </c>
      <c r="V44" s="26">
        <f>T44</f>
        <v>622</v>
      </c>
      <c r="W44" s="50">
        <f>V44/K44</f>
        <v>0.47809377401998465</v>
      </c>
      <c r="X44" s="18">
        <v>1301</v>
      </c>
      <c r="Y44" s="18">
        <f>V44+253</f>
        <v>875</v>
      </c>
      <c r="Z44" s="129">
        <f t="shared" si="14"/>
        <v>0.67255956956187546</v>
      </c>
      <c r="AA44" s="26">
        <f t="shared" si="15"/>
        <v>875</v>
      </c>
      <c r="AB44" s="129">
        <f t="shared" si="11"/>
        <v>0.67255956956187546</v>
      </c>
      <c r="AC44" s="170" t="s">
        <v>442</v>
      </c>
    </row>
    <row r="45" spans="1:29" s="20" customFormat="1" ht="120" customHeight="1" x14ac:dyDescent="0.25">
      <c r="A45" s="193">
        <v>6</v>
      </c>
      <c r="B45" s="192" t="s">
        <v>323</v>
      </c>
      <c r="C45" s="192" t="s">
        <v>294</v>
      </c>
      <c r="D45" s="192">
        <v>1</v>
      </c>
      <c r="E45" s="198" t="s">
        <v>44</v>
      </c>
      <c r="F45" s="192">
        <v>1</v>
      </c>
      <c r="G45" s="192" t="s">
        <v>294</v>
      </c>
      <c r="H45" s="155" t="s">
        <v>45</v>
      </c>
      <c r="I45" s="156" t="s">
        <v>5</v>
      </c>
      <c r="J45" s="154">
        <v>10</v>
      </c>
      <c r="K45" s="154">
        <v>14</v>
      </c>
      <c r="L45" s="154">
        <v>11</v>
      </c>
      <c r="M45" s="18">
        <v>11</v>
      </c>
      <c r="N45" s="18">
        <v>12</v>
      </c>
      <c r="O45" s="18">
        <v>12</v>
      </c>
      <c r="P45" s="50">
        <f t="shared" si="1"/>
        <v>1</v>
      </c>
      <c r="Q45" s="133">
        <f>O45</f>
        <v>12</v>
      </c>
      <c r="R45" s="50">
        <f t="shared" si="16"/>
        <v>0.8571428571428571</v>
      </c>
      <c r="S45" s="18">
        <v>13</v>
      </c>
      <c r="T45" s="26">
        <v>12</v>
      </c>
      <c r="U45" s="50">
        <f>(T45-J45)/(S45-J45)</f>
        <v>0.66666666666666663</v>
      </c>
      <c r="V45" s="26">
        <v>12</v>
      </c>
      <c r="W45" s="50">
        <f>(V45-J45)/(K45-J45)</f>
        <v>0.5</v>
      </c>
      <c r="X45" s="18">
        <v>14</v>
      </c>
      <c r="Y45" s="18">
        <v>15</v>
      </c>
      <c r="Z45" s="129">
        <f t="shared" si="14"/>
        <v>1.0714285714285714</v>
      </c>
      <c r="AA45" s="160">
        <f t="shared" si="15"/>
        <v>15</v>
      </c>
      <c r="AB45" s="129">
        <f t="shared" si="11"/>
        <v>1.0714285714285714</v>
      </c>
      <c r="AC45" s="170" t="s">
        <v>422</v>
      </c>
    </row>
    <row r="46" spans="1:29" s="20" customFormat="1" ht="120" customHeight="1" x14ac:dyDescent="0.25">
      <c r="A46" s="193"/>
      <c r="B46" s="192"/>
      <c r="C46" s="192"/>
      <c r="D46" s="192"/>
      <c r="E46" s="198"/>
      <c r="F46" s="192"/>
      <c r="G46" s="192"/>
      <c r="H46" s="155" t="s">
        <v>46</v>
      </c>
      <c r="I46" s="156" t="s">
        <v>5</v>
      </c>
      <c r="J46" s="154" t="s">
        <v>259</v>
      </c>
      <c r="K46" s="154">
        <v>200</v>
      </c>
      <c r="L46" s="154">
        <v>21</v>
      </c>
      <c r="M46" s="18">
        <v>21</v>
      </c>
      <c r="N46" s="18">
        <v>57</v>
      </c>
      <c r="O46" s="18">
        <v>57</v>
      </c>
      <c r="P46" s="50">
        <f t="shared" si="1"/>
        <v>1</v>
      </c>
      <c r="Q46" s="133">
        <f>O46+M46</f>
        <v>78</v>
      </c>
      <c r="R46" s="50">
        <f t="shared" si="16"/>
        <v>0.39</v>
      </c>
      <c r="S46" s="18">
        <v>73</v>
      </c>
      <c r="T46" s="26">
        <v>131</v>
      </c>
      <c r="U46" s="50">
        <f>T46/S46</f>
        <v>1.7945205479452055</v>
      </c>
      <c r="V46" s="26">
        <v>209</v>
      </c>
      <c r="W46" s="50">
        <f>V46/K46</f>
        <v>1.0449999999999999</v>
      </c>
      <c r="X46" s="18" t="s">
        <v>259</v>
      </c>
      <c r="Y46" s="18" t="s">
        <v>259</v>
      </c>
      <c r="Z46" s="129" t="s">
        <v>259</v>
      </c>
      <c r="AA46" s="152">
        <f>V46</f>
        <v>209</v>
      </c>
      <c r="AB46" s="129">
        <f t="shared" si="11"/>
        <v>1.0449999999999999</v>
      </c>
      <c r="AC46" s="170" t="s">
        <v>423</v>
      </c>
    </row>
    <row r="47" spans="1:29" s="20" customFormat="1" ht="120" customHeight="1" x14ac:dyDescent="0.25">
      <c r="A47" s="193"/>
      <c r="B47" s="192"/>
      <c r="C47" s="192"/>
      <c r="D47" s="192">
        <v>2</v>
      </c>
      <c r="E47" s="198" t="s">
        <v>47</v>
      </c>
      <c r="F47" s="192">
        <v>2</v>
      </c>
      <c r="G47" s="192" t="s">
        <v>324</v>
      </c>
      <c r="H47" s="155" t="s">
        <v>325</v>
      </c>
      <c r="I47" s="156" t="s">
        <v>5</v>
      </c>
      <c r="J47" s="154">
        <v>5</v>
      </c>
      <c r="K47" s="154">
        <v>8</v>
      </c>
      <c r="L47" s="154">
        <v>6</v>
      </c>
      <c r="M47" s="18">
        <v>6</v>
      </c>
      <c r="N47" s="18">
        <v>6</v>
      </c>
      <c r="O47" s="18">
        <v>6</v>
      </c>
      <c r="P47" s="50">
        <f t="shared" si="1"/>
        <v>1</v>
      </c>
      <c r="Q47" s="133">
        <f>O47</f>
        <v>6</v>
      </c>
      <c r="R47" s="50">
        <f t="shared" si="16"/>
        <v>0.75</v>
      </c>
      <c r="S47" s="18">
        <v>7</v>
      </c>
      <c r="T47" s="26">
        <f>Q47+2</f>
        <v>8</v>
      </c>
      <c r="U47" s="50">
        <f t="shared" ref="U47" si="17">T47/K47</f>
        <v>1</v>
      </c>
      <c r="V47" s="26">
        <v>8</v>
      </c>
      <c r="W47" s="50">
        <f>V47/K47</f>
        <v>1</v>
      </c>
      <c r="X47" s="18">
        <v>8</v>
      </c>
      <c r="Y47" s="18">
        <v>9</v>
      </c>
      <c r="Z47" s="129">
        <f>Y47/X47</f>
        <v>1.125</v>
      </c>
      <c r="AA47" s="160">
        <f>Y47</f>
        <v>9</v>
      </c>
      <c r="AB47" s="129">
        <f t="shared" si="11"/>
        <v>1.125</v>
      </c>
      <c r="AC47" s="170" t="s">
        <v>449</v>
      </c>
    </row>
    <row r="48" spans="1:29" s="20" customFormat="1" ht="120" customHeight="1" x14ac:dyDescent="0.25">
      <c r="A48" s="193"/>
      <c r="B48" s="192"/>
      <c r="C48" s="192"/>
      <c r="D48" s="192"/>
      <c r="E48" s="198"/>
      <c r="F48" s="192"/>
      <c r="G48" s="192"/>
      <c r="H48" s="155" t="s">
        <v>48</v>
      </c>
      <c r="I48" s="156" t="s">
        <v>5</v>
      </c>
      <c r="J48" s="154">
        <v>1141</v>
      </c>
      <c r="K48" s="154">
        <v>1161</v>
      </c>
      <c r="L48" s="154">
        <v>1145</v>
      </c>
      <c r="M48" s="18">
        <v>1145</v>
      </c>
      <c r="N48" s="18">
        <v>1152</v>
      </c>
      <c r="O48" s="18">
        <v>1153</v>
      </c>
      <c r="P48" s="50">
        <f t="shared" si="1"/>
        <v>1.0008680555555556</v>
      </c>
      <c r="Q48" s="133">
        <f>O48</f>
        <v>1153</v>
      </c>
      <c r="R48" s="50">
        <f t="shared" si="16"/>
        <v>0.99310938845822572</v>
      </c>
      <c r="S48" s="18">
        <v>1159</v>
      </c>
      <c r="T48" s="26">
        <f>Q48+7</f>
        <v>1160</v>
      </c>
      <c r="U48" s="50">
        <f>(T48-J48)/(S48-J48)</f>
        <v>1.0555555555555556</v>
      </c>
      <c r="V48" s="26">
        <f>T48</f>
        <v>1160</v>
      </c>
      <c r="W48" s="50">
        <f>(V48-J48)/(K48-J48)</f>
        <v>0.95</v>
      </c>
      <c r="X48" s="18">
        <v>1161</v>
      </c>
      <c r="Y48" s="18">
        <v>1161</v>
      </c>
      <c r="Z48" s="161">
        <f>Y48/X48</f>
        <v>1</v>
      </c>
      <c r="AA48" s="149">
        <f>Y48</f>
        <v>1161</v>
      </c>
      <c r="AB48" s="161">
        <f t="shared" si="11"/>
        <v>1</v>
      </c>
      <c r="AC48" s="170" t="s">
        <v>448</v>
      </c>
    </row>
    <row r="49" spans="1:29" s="20" customFormat="1" ht="120" customHeight="1" x14ac:dyDescent="0.25">
      <c r="A49" s="193"/>
      <c r="B49" s="192"/>
      <c r="C49" s="192"/>
      <c r="D49" s="192"/>
      <c r="E49" s="198"/>
      <c r="F49" s="192"/>
      <c r="G49" s="192"/>
      <c r="H49" s="155" t="s">
        <v>326</v>
      </c>
      <c r="I49" s="156" t="s">
        <v>6</v>
      </c>
      <c r="J49" s="154">
        <v>2</v>
      </c>
      <c r="K49" s="154">
        <v>5</v>
      </c>
      <c r="L49" s="154">
        <v>2</v>
      </c>
      <c r="M49" s="18">
        <v>2</v>
      </c>
      <c r="N49" s="18">
        <v>2</v>
      </c>
      <c r="O49" s="18">
        <v>4</v>
      </c>
      <c r="P49" s="50">
        <f t="shared" si="1"/>
        <v>2</v>
      </c>
      <c r="Q49" s="133">
        <f>O49</f>
        <v>4</v>
      </c>
      <c r="R49" s="50">
        <f t="shared" si="16"/>
        <v>0.8</v>
      </c>
      <c r="S49" s="18">
        <v>6</v>
      </c>
      <c r="T49" s="26">
        <v>6</v>
      </c>
      <c r="U49" s="50">
        <f>T49/S49</f>
        <v>1</v>
      </c>
      <c r="V49" s="26">
        <v>6</v>
      </c>
      <c r="W49" s="50">
        <v>1</v>
      </c>
      <c r="X49" s="18">
        <v>5</v>
      </c>
      <c r="Y49" s="18">
        <v>6</v>
      </c>
      <c r="Z49" s="129">
        <f>Y49/X49</f>
        <v>1.2</v>
      </c>
      <c r="AA49" s="18">
        <v>6</v>
      </c>
      <c r="AB49" s="129">
        <f t="shared" si="11"/>
        <v>1.2</v>
      </c>
      <c r="AC49" s="170" t="s">
        <v>421</v>
      </c>
    </row>
    <row r="50" spans="1:29" s="20" customFormat="1" ht="120" customHeight="1" x14ac:dyDescent="0.25">
      <c r="A50" s="193"/>
      <c r="B50" s="192"/>
      <c r="C50" s="192"/>
      <c r="D50" s="199">
        <v>3</v>
      </c>
      <c r="E50" s="198" t="s">
        <v>96</v>
      </c>
      <c r="F50" s="199">
        <v>3</v>
      </c>
      <c r="G50" s="192" t="s">
        <v>278</v>
      </c>
      <c r="H50" s="155" t="s">
        <v>375</v>
      </c>
      <c r="I50" s="156" t="s">
        <v>12</v>
      </c>
      <c r="J50" s="154" t="s">
        <v>279</v>
      </c>
      <c r="K50" s="49">
        <v>1</v>
      </c>
      <c r="L50" s="49">
        <v>1</v>
      </c>
      <c r="M50" s="21">
        <v>1</v>
      </c>
      <c r="N50" s="21">
        <v>1</v>
      </c>
      <c r="O50" s="21">
        <v>1</v>
      </c>
      <c r="P50" s="50">
        <f t="shared" si="1"/>
        <v>1</v>
      </c>
      <c r="Q50" s="50">
        <f>O50</f>
        <v>1</v>
      </c>
      <c r="R50" s="50">
        <f t="shared" si="16"/>
        <v>1</v>
      </c>
      <c r="S50" s="18">
        <v>0</v>
      </c>
      <c r="T50" s="26" t="s">
        <v>259</v>
      </c>
      <c r="U50" s="50">
        <v>1</v>
      </c>
      <c r="V50" s="50" t="s">
        <v>259</v>
      </c>
      <c r="W50" s="50">
        <v>1</v>
      </c>
      <c r="X50" s="18">
        <v>0</v>
      </c>
      <c r="Y50" s="18" t="s">
        <v>259</v>
      </c>
      <c r="Z50" s="129" t="s">
        <v>259</v>
      </c>
      <c r="AA50" s="153">
        <f>M50</f>
        <v>1</v>
      </c>
      <c r="AB50" s="129">
        <f>W50</f>
        <v>1</v>
      </c>
      <c r="AC50" s="170" t="s">
        <v>409</v>
      </c>
    </row>
    <row r="51" spans="1:29" s="20" customFormat="1" ht="120" customHeight="1" x14ac:dyDescent="0.25">
      <c r="A51" s="193"/>
      <c r="B51" s="192"/>
      <c r="C51" s="192"/>
      <c r="D51" s="199"/>
      <c r="E51" s="198"/>
      <c r="F51" s="199"/>
      <c r="G51" s="192"/>
      <c r="H51" s="155" t="s">
        <v>328</v>
      </c>
      <c r="I51" s="156" t="s">
        <v>6</v>
      </c>
      <c r="J51" s="154" t="s">
        <v>260</v>
      </c>
      <c r="K51" s="54">
        <v>3200000</v>
      </c>
      <c r="L51" s="54">
        <v>800000</v>
      </c>
      <c r="M51" s="26">
        <v>800000</v>
      </c>
      <c r="N51" s="26">
        <v>800000</v>
      </c>
      <c r="O51" s="26">
        <v>800000</v>
      </c>
      <c r="P51" s="50">
        <f t="shared" si="1"/>
        <v>1</v>
      </c>
      <c r="Q51" s="26">
        <f>O51+M51</f>
        <v>1600000</v>
      </c>
      <c r="R51" s="50">
        <f t="shared" si="16"/>
        <v>0.5</v>
      </c>
      <c r="S51" s="26">
        <v>800000</v>
      </c>
      <c r="T51" s="26">
        <v>695108</v>
      </c>
      <c r="U51" s="50">
        <f>T51/S51</f>
        <v>0.86888500000000002</v>
      </c>
      <c r="V51" s="26">
        <f>Q51+T51</f>
        <v>2295108</v>
      </c>
      <c r="W51" s="50">
        <f>V51/K51</f>
        <v>0.71722125000000003</v>
      </c>
      <c r="X51" s="26">
        <v>800000</v>
      </c>
      <c r="Y51" s="26">
        <v>1462</v>
      </c>
      <c r="Z51" s="130">
        <f t="shared" ref="Z51:Z58" si="18">Y51/X51</f>
        <v>1.8274999999999999E-3</v>
      </c>
      <c r="AA51" s="26">
        <f>V51+Y51</f>
        <v>2296570</v>
      </c>
      <c r="AB51" s="129">
        <f t="shared" ref="AB51:AB76" si="19">AA51/K51</f>
        <v>0.71767812499999994</v>
      </c>
      <c r="AC51" s="170" t="s">
        <v>443</v>
      </c>
    </row>
    <row r="52" spans="1:29" s="20" customFormat="1" ht="120" customHeight="1" x14ac:dyDescent="0.25">
      <c r="A52" s="193"/>
      <c r="B52" s="192"/>
      <c r="C52" s="192"/>
      <c r="D52" s="192">
        <v>4</v>
      </c>
      <c r="E52" s="198" t="s">
        <v>91</v>
      </c>
      <c r="F52" s="192">
        <v>4</v>
      </c>
      <c r="G52" s="192" t="s">
        <v>294</v>
      </c>
      <c r="H52" s="155" t="s">
        <v>330</v>
      </c>
      <c r="I52" s="156" t="s">
        <v>5</v>
      </c>
      <c r="J52" s="154">
        <v>53</v>
      </c>
      <c r="K52" s="154">
        <v>65</v>
      </c>
      <c r="L52" s="154">
        <v>55</v>
      </c>
      <c r="M52" s="18">
        <v>55</v>
      </c>
      <c r="N52" s="18">
        <v>57</v>
      </c>
      <c r="O52" s="18">
        <v>57</v>
      </c>
      <c r="P52" s="50">
        <f t="shared" si="1"/>
        <v>1</v>
      </c>
      <c r="Q52" s="133">
        <f t="shared" ref="Q52:Q57" si="20">O52</f>
        <v>57</v>
      </c>
      <c r="R52" s="50">
        <f t="shared" si="16"/>
        <v>0.87692307692307692</v>
      </c>
      <c r="S52" s="18">
        <v>62</v>
      </c>
      <c r="T52" s="26">
        <v>63</v>
      </c>
      <c r="U52" s="50">
        <f>(T52-J52)/(S52-J52)</f>
        <v>1.1111111111111112</v>
      </c>
      <c r="V52" s="26">
        <v>63</v>
      </c>
      <c r="W52" s="50">
        <f>(V52-J52)/(K52-J52)</f>
        <v>0.83333333333333337</v>
      </c>
      <c r="X52" s="18">
        <v>65</v>
      </c>
      <c r="Y52" s="18">
        <v>65</v>
      </c>
      <c r="Z52" s="129">
        <f t="shared" si="18"/>
        <v>1</v>
      </c>
      <c r="AA52" s="160">
        <f t="shared" ref="AA52:AA57" si="21">Y52</f>
        <v>65</v>
      </c>
      <c r="AB52" s="162">
        <f t="shared" si="19"/>
        <v>1</v>
      </c>
      <c r="AC52" s="170" t="s">
        <v>424</v>
      </c>
    </row>
    <row r="53" spans="1:29" s="20" customFormat="1" ht="120" customHeight="1" x14ac:dyDescent="0.25">
      <c r="A53" s="193"/>
      <c r="B53" s="192"/>
      <c r="C53" s="192"/>
      <c r="D53" s="192"/>
      <c r="E53" s="198"/>
      <c r="F53" s="192"/>
      <c r="G53" s="192"/>
      <c r="H53" s="155" t="s">
        <v>331</v>
      </c>
      <c r="I53" s="156" t="s">
        <v>5</v>
      </c>
      <c r="J53" s="154">
        <v>61</v>
      </c>
      <c r="K53" s="154">
        <v>73</v>
      </c>
      <c r="L53" s="154">
        <v>67</v>
      </c>
      <c r="M53" s="18">
        <v>67</v>
      </c>
      <c r="N53" s="18">
        <v>68</v>
      </c>
      <c r="O53" s="18">
        <v>68</v>
      </c>
      <c r="P53" s="50">
        <f t="shared" si="1"/>
        <v>1</v>
      </c>
      <c r="Q53" s="133">
        <f t="shared" si="20"/>
        <v>68</v>
      </c>
      <c r="R53" s="50">
        <f t="shared" si="16"/>
        <v>0.93150684931506844</v>
      </c>
      <c r="S53" s="18">
        <v>71</v>
      </c>
      <c r="T53" s="26">
        <v>71</v>
      </c>
      <c r="U53" s="50">
        <f>(T53-J53)/(S53-J53)</f>
        <v>1</v>
      </c>
      <c r="V53" s="26">
        <f>T53</f>
        <v>71</v>
      </c>
      <c r="W53" s="50">
        <f>(V53-J53)/(K53-J53)</f>
        <v>0.83333333333333337</v>
      </c>
      <c r="X53" s="18">
        <v>73</v>
      </c>
      <c r="Y53" s="18">
        <v>74</v>
      </c>
      <c r="Z53" s="129">
        <f t="shared" si="18"/>
        <v>1.0136986301369864</v>
      </c>
      <c r="AA53" s="160">
        <f t="shared" si="21"/>
        <v>74</v>
      </c>
      <c r="AB53" s="162">
        <f t="shared" si="19"/>
        <v>1.0136986301369864</v>
      </c>
      <c r="AC53" s="170" t="s">
        <v>425</v>
      </c>
    </row>
    <row r="54" spans="1:29" s="20" customFormat="1" ht="120" customHeight="1" x14ac:dyDescent="0.25">
      <c r="A54" s="193"/>
      <c r="B54" s="192"/>
      <c r="C54" s="192"/>
      <c r="D54" s="154">
        <v>5</v>
      </c>
      <c r="E54" s="155" t="s">
        <v>332</v>
      </c>
      <c r="F54" s="154">
        <v>5</v>
      </c>
      <c r="G54" s="154" t="s">
        <v>316</v>
      </c>
      <c r="H54" s="155" t="s">
        <v>49</v>
      </c>
      <c r="I54" s="156" t="s">
        <v>142</v>
      </c>
      <c r="J54" s="154" t="s">
        <v>317</v>
      </c>
      <c r="K54" s="154">
        <v>48</v>
      </c>
      <c r="L54" s="57">
        <v>12</v>
      </c>
      <c r="M54" s="34">
        <v>12</v>
      </c>
      <c r="N54" s="34">
        <v>24</v>
      </c>
      <c r="O54" s="34">
        <v>24</v>
      </c>
      <c r="P54" s="50">
        <f t="shared" si="1"/>
        <v>1</v>
      </c>
      <c r="Q54" s="34">
        <f t="shared" si="20"/>
        <v>24</v>
      </c>
      <c r="R54" s="50">
        <f t="shared" si="16"/>
        <v>0.5</v>
      </c>
      <c r="S54" s="34">
        <v>36</v>
      </c>
      <c r="T54" s="26">
        <f>Q54+12</f>
        <v>36</v>
      </c>
      <c r="U54" s="50">
        <f>T54/S54</f>
        <v>1</v>
      </c>
      <c r="V54" s="26">
        <f>T54</f>
        <v>36</v>
      </c>
      <c r="W54" s="50">
        <f>T54/K54</f>
        <v>0.75</v>
      </c>
      <c r="X54" s="34">
        <v>48</v>
      </c>
      <c r="Y54" s="34">
        <f>V54+6</f>
        <v>42</v>
      </c>
      <c r="Z54" s="129">
        <f t="shared" si="18"/>
        <v>0.875</v>
      </c>
      <c r="AA54" s="167">
        <f t="shared" si="21"/>
        <v>42</v>
      </c>
      <c r="AB54" s="162">
        <f t="shared" si="19"/>
        <v>0.875</v>
      </c>
      <c r="AC54" s="170" t="s">
        <v>467</v>
      </c>
    </row>
    <row r="55" spans="1:29" s="20" customFormat="1" ht="120" customHeight="1" x14ac:dyDescent="0.25">
      <c r="A55" s="193">
        <v>7</v>
      </c>
      <c r="B55" s="192" t="s">
        <v>333</v>
      </c>
      <c r="C55" s="192" t="s">
        <v>334</v>
      </c>
      <c r="D55" s="192">
        <v>1</v>
      </c>
      <c r="E55" s="198" t="s">
        <v>335</v>
      </c>
      <c r="F55" s="192">
        <v>1</v>
      </c>
      <c r="G55" s="192" t="s">
        <v>336</v>
      </c>
      <c r="H55" s="155" t="s">
        <v>337</v>
      </c>
      <c r="I55" s="156" t="s">
        <v>148</v>
      </c>
      <c r="J55" s="54">
        <v>2050</v>
      </c>
      <c r="K55" s="54">
        <v>12294</v>
      </c>
      <c r="L55" s="54">
        <v>4350</v>
      </c>
      <c r="M55" s="26">
        <v>4350</v>
      </c>
      <c r="N55" s="26">
        <v>6870</v>
      </c>
      <c r="O55" s="26">
        <v>6870</v>
      </c>
      <c r="P55" s="50">
        <f t="shared" si="1"/>
        <v>1</v>
      </c>
      <c r="Q55" s="34">
        <f t="shared" si="20"/>
        <v>6870</v>
      </c>
      <c r="R55" s="50">
        <f t="shared" si="16"/>
        <v>0.55880917520741824</v>
      </c>
      <c r="S55" s="26">
        <v>9516</v>
      </c>
      <c r="T55" s="26">
        <v>10374</v>
      </c>
      <c r="U55" s="50">
        <f>(T55-J55)/(S55-J55)</f>
        <v>1.1149209750870614</v>
      </c>
      <c r="V55" s="26">
        <f>T55</f>
        <v>10374</v>
      </c>
      <c r="W55" s="50">
        <f>(V55-J55)/(K55-J55)</f>
        <v>0.81257321358844203</v>
      </c>
      <c r="X55" s="26">
        <v>12294</v>
      </c>
      <c r="Y55" s="26">
        <v>13098</v>
      </c>
      <c r="Z55" s="129">
        <f t="shared" si="18"/>
        <v>1.0653977550024403</v>
      </c>
      <c r="AA55" s="152">
        <f t="shared" si="21"/>
        <v>13098</v>
      </c>
      <c r="AB55" s="162">
        <f t="shared" si="19"/>
        <v>1.0653977550024403</v>
      </c>
      <c r="AC55" s="170" t="s">
        <v>432</v>
      </c>
    </row>
    <row r="56" spans="1:29" s="20" customFormat="1" ht="120" customHeight="1" x14ac:dyDescent="0.25">
      <c r="A56" s="193"/>
      <c r="B56" s="192"/>
      <c r="C56" s="192"/>
      <c r="D56" s="192"/>
      <c r="E56" s="198"/>
      <c r="F56" s="192"/>
      <c r="G56" s="192"/>
      <c r="H56" s="155" t="s">
        <v>339</v>
      </c>
      <c r="I56" s="156" t="s">
        <v>148</v>
      </c>
      <c r="J56" s="54" t="s">
        <v>260</v>
      </c>
      <c r="K56" s="52">
        <v>0.2</v>
      </c>
      <c r="L56" s="52">
        <v>0.2</v>
      </c>
      <c r="M56" s="22">
        <v>0.2</v>
      </c>
      <c r="N56" s="22">
        <v>0.02</v>
      </c>
      <c r="O56" s="22">
        <v>0.02</v>
      </c>
      <c r="P56" s="50">
        <f t="shared" si="1"/>
        <v>1</v>
      </c>
      <c r="Q56" s="50">
        <f t="shared" si="20"/>
        <v>0.02</v>
      </c>
      <c r="R56" s="50">
        <f t="shared" si="16"/>
        <v>9.9999999999999992E-2</v>
      </c>
      <c r="S56" s="22">
        <v>0.2</v>
      </c>
      <c r="T56" s="165">
        <v>0.2</v>
      </c>
      <c r="U56" s="50">
        <f>T56/S56</f>
        <v>1</v>
      </c>
      <c r="V56" s="50">
        <v>0.2</v>
      </c>
      <c r="W56" s="50">
        <f>V56/K56</f>
        <v>1</v>
      </c>
      <c r="X56" s="22">
        <v>0.2</v>
      </c>
      <c r="Y56" s="22">
        <v>0</v>
      </c>
      <c r="Z56" s="129">
        <f t="shared" si="18"/>
        <v>0</v>
      </c>
      <c r="AA56" s="153">
        <f t="shared" si="21"/>
        <v>0</v>
      </c>
      <c r="AB56" s="162">
        <f t="shared" si="19"/>
        <v>0</v>
      </c>
      <c r="AC56" s="170" t="s">
        <v>463</v>
      </c>
    </row>
    <row r="57" spans="1:29" s="20" customFormat="1" ht="120" customHeight="1" x14ac:dyDescent="0.25">
      <c r="A57" s="193"/>
      <c r="B57" s="192"/>
      <c r="C57" s="192"/>
      <c r="D57" s="192"/>
      <c r="E57" s="198"/>
      <c r="F57" s="192"/>
      <c r="G57" s="192"/>
      <c r="H57" s="155" t="s">
        <v>52</v>
      </c>
      <c r="I57" s="156" t="s">
        <v>149</v>
      </c>
      <c r="J57" s="154">
        <v>871</v>
      </c>
      <c r="K57" s="54">
        <v>5500</v>
      </c>
      <c r="L57" s="54">
        <v>1945</v>
      </c>
      <c r="M57" s="26">
        <v>1801</v>
      </c>
      <c r="N57" s="26">
        <v>3073</v>
      </c>
      <c r="O57" s="26">
        <v>2947</v>
      </c>
      <c r="P57" s="50">
        <f t="shared" si="1"/>
        <v>0.95899772209567202</v>
      </c>
      <c r="Q57" s="26">
        <f t="shared" si="20"/>
        <v>2947</v>
      </c>
      <c r="R57" s="50">
        <f t="shared" si="16"/>
        <v>0.53581818181818186</v>
      </c>
      <c r="S57" s="26">
        <v>4257</v>
      </c>
      <c r="T57" s="26">
        <v>6993</v>
      </c>
      <c r="U57" s="50">
        <f>(T57-J57)/(S57-J57)</f>
        <v>1.8080330773774365</v>
      </c>
      <c r="V57" s="26">
        <f>T57</f>
        <v>6993</v>
      </c>
      <c r="W57" s="50">
        <f>(V57-J57)/(K57-J57)</f>
        <v>1.3225318643335493</v>
      </c>
      <c r="X57" s="26">
        <v>5500</v>
      </c>
      <c r="Y57" s="26">
        <f>V57</f>
        <v>6993</v>
      </c>
      <c r="Z57" s="129">
        <f t="shared" si="18"/>
        <v>1.2714545454545454</v>
      </c>
      <c r="AA57" s="152">
        <f t="shared" si="21"/>
        <v>6993</v>
      </c>
      <c r="AB57" s="162">
        <f t="shared" si="19"/>
        <v>1.2714545454545454</v>
      </c>
      <c r="AC57" s="170" t="s">
        <v>431</v>
      </c>
    </row>
    <row r="58" spans="1:29" s="20" customFormat="1" ht="120" customHeight="1" x14ac:dyDescent="0.25">
      <c r="A58" s="193"/>
      <c r="B58" s="192"/>
      <c r="C58" s="192"/>
      <c r="D58" s="192"/>
      <c r="E58" s="198"/>
      <c r="F58" s="192"/>
      <c r="G58" s="192"/>
      <c r="H58" s="155" t="s">
        <v>342</v>
      </c>
      <c r="I58" s="156" t="s">
        <v>149</v>
      </c>
      <c r="J58" s="154" t="s">
        <v>279</v>
      </c>
      <c r="K58" s="51">
        <v>400</v>
      </c>
      <c r="L58" s="51">
        <v>100</v>
      </c>
      <c r="M58" s="51">
        <v>102</v>
      </c>
      <c r="N58" s="51">
        <v>100</v>
      </c>
      <c r="O58" s="51">
        <v>88</v>
      </c>
      <c r="P58" s="50">
        <f t="shared" si="1"/>
        <v>0.88</v>
      </c>
      <c r="Q58" s="51">
        <f>O58+M58</f>
        <v>190</v>
      </c>
      <c r="R58" s="50">
        <f t="shared" si="16"/>
        <v>0.47499999999999998</v>
      </c>
      <c r="S58" s="51">
        <v>100</v>
      </c>
      <c r="T58" s="26">
        <v>100</v>
      </c>
      <c r="U58" s="50">
        <f>T58/S58</f>
        <v>1</v>
      </c>
      <c r="V58" s="26">
        <f>T58+Q58</f>
        <v>290</v>
      </c>
      <c r="W58" s="50">
        <f t="shared" ref="W58:W64" si="22">V58/K58</f>
        <v>0.72499999999999998</v>
      </c>
      <c r="X58" s="51">
        <v>100</v>
      </c>
      <c r="Y58" s="26">
        <v>0</v>
      </c>
      <c r="Z58" s="129">
        <f t="shared" si="18"/>
        <v>0</v>
      </c>
      <c r="AA58" s="152">
        <f>V58</f>
        <v>290</v>
      </c>
      <c r="AB58" s="162">
        <f t="shared" si="19"/>
        <v>0.72499999999999998</v>
      </c>
      <c r="AC58" s="170" t="s">
        <v>464</v>
      </c>
    </row>
    <row r="59" spans="1:29" s="20" customFormat="1" ht="120" customHeight="1" x14ac:dyDescent="0.25">
      <c r="A59" s="193"/>
      <c r="B59" s="192"/>
      <c r="C59" s="192"/>
      <c r="D59" s="192">
        <v>2</v>
      </c>
      <c r="E59" s="198" t="s">
        <v>53</v>
      </c>
      <c r="F59" s="192">
        <v>2</v>
      </c>
      <c r="G59" s="192" t="s">
        <v>281</v>
      </c>
      <c r="H59" s="155" t="s">
        <v>54</v>
      </c>
      <c r="I59" s="156" t="s">
        <v>5</v>
      </c>
      <c r="J59" s="154" t="s">
        <v>259</v>
      </c>
      <c r="K59" s="154">
        <v>1</v>
      </c>
      <c r="L59" s="154">
        <v>1</v>
      </c>
      <c r="M59" s="18">
        <v>1</v>
      </c>
      <c r="N59" s="18" t="s">
        <v>260</v>
      </c>
      <c r="O59" s="18" t="s">
        <v>259</v>
      </c>
      <c r="P59" s="50" t="s">
        <v>259</v>
      </c>
      <c r="Q59" s="36">
        <v>1</v>
      </c>
      <c r="R59" s="50">
        <f t="shared" si="16"/>
        <v>1</v>
      </c>
      <c r="S59" s="18" t="s">
        <v>260</v>
      </c>
      <c r="T59" s="26" t="s">
        <v>259</v>
      </c>
      <c r="U59" s="50">
        <v>1</v>
      </c>
      <c r="V59" s="26">
        <v>1</v>
      </c>
      <c r="W59" s="50">
        <f t="shared" si="22"/>
        <v>1</v>
      </c>
      <c r="X59" s="18" t="s">
        <v>259</v>
      </c>
      <c r="Y59" s="18" t="s">
        <v>259</v>
      </c>
      <c r="Z59" s="129" t="s">
        <v>259</v>
      </c>
      <c r="AA59" s="152">
        <f>V59</f>
        <v>1</v>
      </c>
      <c r="AB59" s="162">
        <f t="shared" si="19"/>
        <v>1</v>
      </c>
      <c r="AC59" s="170" t="s">
        <v>413</v>
      </c>
    </row>
    <row r="60" spans="1:29" s="20" customFormat="1" ht="120" customHeight="1" x14ac:dyDescent="0.25">
      <c r="A60" s="193"/>
      <c r="B60" s="192"/>
      <c r="C60" s="192"/>
      <c r="D60" s="192"/>
      <c r="E60" s="198"/>
      <c r="F60" s="192"/>
      <c r="G60" s="192"/>
      <c r="H60" s="155" t="s">
        <v>55</v>
      </c>
      <c r="I60" s="156" t="s">
        <v>5</v>
      </c>
      <c r="J60" s="154" t="s">
        <v>259</v>
      </c>
      <c r="K60" s="58">
        <v>4</v>
      </c>
      <c r="L60" s="58">
        <v>1</v>
      </c>
      <c r="M60" s="36">
        <v>1</v>
      </c>
      <c r="N60" s="36">
        <v>2</v>
      </c>
      <c r="O60" s="36">
        <v>1</v>
      </c>
      <c r="P60" s="50">
        <f t="shared" si="1"/>
        <v>0.5</v>
      </c>
      <c r="Q60" s="36">
        <f>O60+M60</f>
        <v>2</v>
      </c>
      <c r="R60" s="50">
        <f t="shared" si="16"/>
        <v>0.5</v>
      </c>
      <c r="S60" s="36">
        <v>3</v>
      </c>
      <c r="T60" s="26">
        <f>Q60+2</f>
        <v>4</v>
      </c>
      <c r="U60" s="50">
        <f t="shared" ref="U60:U65" si="23">T60/S60</f>
        <v>1.3333333333333333</v>
      </c>
      <c r="V60" s="26">
        <f>T60</f>
        <v>4</v>
      </c>
      <c r="W60" s="50">
        <f t="shared" si="22"/>
        <v>1</v>
      </c>
      <c r="X60" s="36">
        <v>4</v>
      </c>
      <c r="Y60" s="36">
        <v>5</v>
      </c>
      <c r="Z60" s="129">
        <f>Y60/X60</f>
        <v>1.25</v>
      </c>
      <c r="AA60" s="163">
        <f>Y60</f>
        <v>5</v>
      </c>
      <c r="AB60" s="162">
        <f t="shared" si="19"/>
        <v>1.25</v>
      </c>
      <c r="AC60" s="170" t="s">
        <v>450</v>
      </c>
    </row>
    <row r="61" spans="1:29" s="20" customFormat="1" ht="120" customHeight="1" x14ac:dyDescent="0.25">
      <c r="A61" s="193"/>
      <c r="B61" s="192"/>
      <c r="C61" s="192"/>
      <c r="D61" s="192"/>
      <c r="E61" s="198"/>
      <c r="F61" s="192"/>
      <c r="G61" s="192"/>
      <c r="H61" s="155" t="s">
        <v>344</v>
      </c>
      <c r="I61" s="156" t="s">
        <v>3</v>
      </c>
      <c r="J61" s="157" t="s">
        <v>260</v>
      </c>
      <c r="K61" s="182">
        <v>330</v>
      </c>
      <c r="L61" s="58">
        <v>60</v>
      </c>
      <c r="M61" s="36">
        <v>60</v>
      </c>
      <c r="N61" s="36">
        <v>60</v>
      </c>
      <c r="O61" s="36">
        <v>60</v>
      </c>
      <c r="P61" s="50">
        <f t="shared" si="1"/>
        <v>1</v>
      </c>
      <c r="Q61" s="36">
        <f>O61</f>
        <v>60</v>
      </c>
      <c r="R61" s="50">
        <f t="shared" si="16"/>
        <v>0.18181818181818182</v>
      </c>
      <c r="S61" s="36">
        <v>180</v>
      </c>
      <c r="T61" s="26">
        <v>257</v>
      </c>
      <c r="U61" s="50">
        <f t="shared" si="23"/>
        <v>1.4277777777777778</v>
      </c>
      <c r="V61" s="26">
        <f>T61+Q61</f>
        <v>317</v>
      </c>
      <c r="W61" s="50">
        <f t="shared" si="22"/>
        <v>0.96060606060606057</v>
      </c>
      <c r="X61" s="36">
        <v>330</v>
      </c>
      <c r="Y61" s="36">
        <f>V61+30</f>
        <v>347</v>
      </c>
      <c r="Z61" s="129">
        <f>Y61/X61</f>
        <v>1.0515151515151515</v>
      </c>
      <c r="AA61" s="163">
        <f>Y61</f>
        <v>347</v>
      </c>
      <c r="AB61" s="162">
        <f t="shared" si="19"/>
        <v>1.0515151515151515</v>
      </c>
      <c r="AC61" s="170" t="s">
        <v>438</v>
      </c>
    </row>
    <row r="62" spans="1:29" s="20" customFormat="1" ht="120" customHeight="1" x14ac:dyDescent="0.25">
      <c r="A62" s="193"/>
      <c r="B62" s="192"/>
      <c r="C62" s="192"/>
      <c r="D62" s="192"/>
      <c r="E62" s="198"/>
      <c r="F62" s="192"/>
      <c r="G62" s="192"/>
      <c r="H62" s="59" t="s">
        <v>381</v>
      </c>
      <c r="I62" s="156" t="s">
        <v>3</v>
      </c>
      <c r="J62" s="154" t="s">
        <v>260</v>
      </c>
      <c r="K62" s="58">
        <v>1200</v>
      </c>
      <c r="L62" s="58">
        <v>50</v>
      </c>
      <c r="M62" s="36">
        <v>373</v>
      </c>
      <c r="N62" s="36">
        <v>650</v>
      </c>
      <c r="O62" s="36">
        <v>876</v>
      </c>
      <c r="P62" s="50">
        <f t="shared" si="1"/>
        <v>1.3476923076923077</v>
      </c>
      <c r="Q62" s="36">
        <f>O62</f>
        <v>876</v>
      </c>
      <c r="R62" s="50">
        <f t="shared" si="16"/>
        <v>0.73</v>
      </c>
      <c r="S62" s="36">
        <v>950</v>
      </c>
      <c r="T62" s="26">
        <v>1770</v>
      </c>
      <c r="U62" s="50">
        <f t="shared" si="23"/>
        <v>1.8631578947368421</v>
      </c>
      <c r="V62" s="26">
        <f>T62</f>
        <v>1770</v>
      </c>
      <c r="W62" s="50">
        <f t="shared" si="22"/>
        <v>1.4750000000000001</v>
      </c>
      <c r="X62" s="36">
        <v>1200</v>
      </c>
      <c r="Y62" s="36">
        <f>V62+381</f>
        <v>2151</v>
      </c>
      <c r="Z62" s="129">
        <f>Y62/X62</f>
        <v>1.7925</v>
      </c>
      <c r="AA62" s="163">
        <f>Y62</f>
        <v>2151</v>
      </c>
      <c r="AB62" s="162">
        <f t="shared" si="19"/>
        <v>1.7925</v>
      </c>
      <c r="AC62" s="170" t="s">
        <v>439</v>
      </c>
    </row>
    <row r="63" spans="1:29" s="20" customFormat="1" ht="120" customHeight="1" x14ac:dyDescent="0.25">
      <c r="A63" s="193"/>
      <c r="B63" s="192"/>
      <c r="C63" s="192"/>
      <c r="D63" s="192">
        <v>3</v>
      </c>
      <c r="E63" s="198" t="s">
        <v>346</v>
      </c>
      <c r="F63" s="192">
        <v>3</v>
      </c>
      <c r="G63" s="192" t="s">
        <v>347</v>
      </c>
      <c r="H63" s="155" t="s">
        <v>348</v>
      </c>
      <c r="I63" s="156" t="s">
        <v>133</v>
      </c>
      <c r="J63" s="154" t="s">
        <v>259</v>
      </c>
      <c r="K63" s="154">
        <v>600</v>
      </c>
      <c r="L63" s="154">
        <v>150</v>
      </c>
      <c r="M63" s="18">
        <v>150</v>
      </c>
      <c r="N63" s="18">
        <v>150</v>
      </c>
      <c r="O63" s="18">
        <v>148</v>
      </c>
      <c r="P63" s="50">
        <f t="shared" si="1"/>
        <v>0.98666666666666669</v>
      </c>
      <c r="Q63" s="133">
        <f>O63+M63</f>
        <v>298</v>
      </c>
      <c r="R63" s="50">
        <f t="shared" si="16"/>
        <v>0.49666666666666665</v>
      </c>
      <c r="S63" s="18">
        <v>150</v>
      </c>
      <c r="T63" s="26">
        <v>150</v>
      </c>
      <c r="U63" s="50">
        <f t="shared" si="23"/>
        <v>1</v>
      </c>
      <c r="V63" s="26">
        <v>450</v>
      </c>
      <c r="W63" s="50">
        <f t="shared" si="22"/>
        <v>0.75</v>
      </c>
      <c r="X63" s="18">
        <v>150</v>
      </c>
      <c r="Y63" s="18">
        <v>150</v>
      </c>
      <c r="Z63" s="129">
        <f t="shared" ref="Z63:Z76" si="24">Y63/X63</f>
        <v>1</v>
      </c>
      <c r="AA63" s="26">
        <f>Y63+V63</f>
        <v>600</v>
      </c>
      <c r="AB63" s="129">
        <f t="shared" si="19"/>
        <v>1</v>
      </c>
      <c r="AC63" s="172" t="s">
        <v>418</v>
      </c>
    </row>
    <row r="64" spans="1:29" s="20" customFormat="1" ht="120" customHeight="1" x14ac:dyDescent="0.25">
      <c r="A64" s="193"/>
      <c r="B64" s="192"/>
      <c r="C64" s="192"/>
      <c r="D64" s="192"/>
      <c r="E64" s="198"/>
      <c r="F64" s="192"/>
      <c r="G64" s="192"/>
      <c r="H64" s="155" t="s">
        <v>349</v>
      </c>
      <c r="I64" s="156" t="s">
        <v>142</v>
      </c>
      <c r="J64" s="154" t="s">
        <v>259</v>
      </c>
      <c r="K64" s="154">
        <v>32</v>
      </c>
      <c r="L64" s="154">
        <v>8</v>
      </c>
      <c r="M64" s="18">
        <v>8</v>
      </c>
      <c r="N64" s="18">
        <v>9</v>
      </c>
      <c r="O64" s="18">
        <v>9</v>
      </c>
      <c r="P64" s="50">
        <f t="shared" si="1"/>
        <v>1</v>
      </c>
      <c r="Q64" s="133">
        <f>O64+M64</f>
        <v>17</v>
      </c>
      <c r="R64" s="50">
        <f t="shared" si="16"/>
        <v>0.53125</v>
      </c>
      <c r="S64" s="18">
        <v>9</v>
      </c>
      <c r="T64" s="26">
        <v>9</v>
      </c>
      <c r="U64" s="50">
        <f t="shared" si="23"/>
        <v>1</v>
      </c>
      <c r="V64" s="26">
        <f>Q64+T64</f>
        <v>26</v>
      </c>
      <c r="W64" s="50">
        <f t="shared" si="22"/>
        <v>0.8125</v>
      </c>
      <c r="X64" s="18">
        <v>6</v>
      </c>
      <c r="Y64" s="18">
        <v>7</v>
      </c>
      <c r="Z64" s="129">
        <f t="shared" si="24"/>
        <v>1.1666666666666667</v>
      </c>
      <c r="AA64" s="160">
        <f>V64+Y64</f>
        <v>33</v>
      </c>
      <c r="AB64" s="129">
        <f t="shared" si="19"/>
        <v>1.03125</v>
      </c>
      <c r="AC64" s="170" t="s">
        <v>433</v>
      </c>
    </row>
    <row r="65" spans="1:29" s="20" customFormat="1" ht="120" customHeight="1" x14ac:dyDescent="0.25">
      <c r="A65" s="193">
        <v>8</v>
      </c>
      <c r="B65" s="192" t="s">
        <v>350</v>
      </c>
      <c r="C65" s="196" t="s">
        <v>351</v>
      </c>
      <c r="D65" s="192">
        <v>1</v>
      </c>
      <c r="E65" s="198" t="s">
        <v>58</v>
      </c>
      <c r="F65" s="192">
        <v>1</v>
      </c>
      <c r="G65" s="192" t="s">
        <v>352</v>
      </c>
      <c r="H65" s="155" t="s">
        <v>59</v>
      </c>
      <c r="I65" s="156" t="s">
        <v>157</v>
      </c>
      <c r="J65" s="60">
        <v>0.90600000000000003</v>
      </c>
      <c r="K65" s="61">
        <v>0.91500000000000004</v>
      </c>
      <c r="L65" s="61">
        <v>0.90800000000000003</v>
      </c>
      <c r="M65" s="38">
        <v>0.96</v>
      </c>
      <c r="N65" s="38">
        <v>0.91</v>
      </c>
      <c r="O65" s="38">
        <v>0.95799999999999996</v>
      </c>
      <c r="P65" s="50">
        <f t="shared" si="1"/>
        <v>1.0527472527472526</v>
      </c>
      <c r="Q65" s="50">
        <f t="shared" ref="Q65:Q76" si="25">O65</f>
        <v>0.95799999999999996</v>
      </c>
      <c r="R65" s="50">
        <f t="shared" si="16"/>
        <v>1.0469945355191257</v>
      </c>
      <c r="S65" s="38">
        <v>0.91300000000000003</v>
      </c>
      <c r="T65" s="165">
        <v>0.97699999999999998</v>
      </c>
      <c r="U65" s="50">
        <f t="shared" si="23"/>
        <v>1.0700985761226725</v>
      </c>
      <c r="V65" s="50">
        <f>T65</f>
        <v>0.97699999999999998</v>
      </c>
      <c r="W65" s="50">
        <f>T65/K65</f>
        <v>1.06775956284153</v>
      </c>
      <c r="X65" s="38">
        <v>0.91500000000000004</v>
      </c>
      <c r="Y65" s="21">
        <v>0.33</v>
      </c>
      <c r="Z65" s="129">
        <f t="shared" si="24"/>
        <v>0.36065573770491804</v>
      </c>
      <c r="AA65" s="153">
        <f t="shared" ref="AA65:AA76" si="26">Y65</f>
        <v>0.33</v>
      </c>
      <c r="AB65" s="129">
        <f t="shared" si="19"/>
        <v>0.36065573770491804</v>
      </c>
      <c r="AC65" s="170" t="s">
        <v>458</v>
      </c>
    </row>
    <row r="66" spans="1:29" s="20" customFormat="1" ht="120" customHeight="1" x14ac:dyDescent="0.25">
      <c r="A66" s="193"/>
      <c r="B66" s="192"/>
      <c r="C66" s="196"/>
      <c r="D66" s="192"/>
      <c r="E66" s="198"/>
      <c r="F66" s="192"/>
      <c r="G66" s="192"/>
      <c r="H66" s="156" t="s">
        <v>354</v>
      </c>
      <c r="I66" s="156" t="s">
        <v>60</v>
      </c>
      <c r="J66" s="154" t="s">
        <v>279</v>
      </c>
      <c r="K66" s="49">
        <v>1</v>
      </c>
      <c r="L66" s="49">
        <v>1</v>
      </c>
      <c r="M66" s="21">
        <v>1</v>
      </c>
      <c r="N66" s="21">
        <v>1</v>
      </c>
      <c r="O66" s="21">
        <v>1</v>
      </c>
      <c r="P66" s="50">
        <f t="shared" si="1"/>
        <v>1</v>
      </c>
      <c r="Q66" s="50">
        <f t="shared" si="25"/>
        <v>1</v>
      </c>
      <c r="R66" s="50">
        <f t="shared" si="16"/>
        <v>1</v>
      </c>
      <c r="S66" s="21">
        <v>1</v>
      </c>
      <c r="T66" s="165">
        <v>1</v>
      </c>
      <c r="U66" s="50">
        <f t="shared" ref="U66:U67" si="27">T66/K66</f>
        <v>1</v>
      </c>
      <c r="V66" s="50">
        <v>1</v>
      </c>
      <c r="W66" s="50">
        <f>T66/K66</f>
        <v>1</v>
      </c>
      <c r="X66" s="21">
        <v>1</v>
      </c>
      <c r="Y66" s="21">
        <v>0.5</v>
      </c>
      <c r="Z66" s="129">
        <f t="shared" si="24"/>
        <v>0.5</v>
      </c>
      <c r="AA66" s="153">
        <f t="shared" si="26"/>
        <v>0.5</v>
      </c>
      <c r="AB66" s="129">
        <f t="shared" si="19"/>
        <v>0.5</v>
      </c>
      <c r="AC66" s="170" t="s">
        <v>473</v>
      </c>
    </row>
    <row r="67" spans="1:29" s="20" customFormat="1" ht="120" customHeight="1" x14ac:dyDescent="0.25">
      <c r="A67" s="193"/>
      <c r="B67" s="192"/>
      <c r="C67" s="196"/>
      <c r="D67" s="192"/>
      <c r="E67" s="198"/>
      <c r="F67" s="192"/>
      <c r="G67" s="192"/>
      <c r="H67" s="155" t="s">
        <v>61</v>
      </c>
      <c r="I67" s="156" t="s">
        <v>99</v>
      </c>
      <c r="J67" s="49">
        <v>0.1</v>
      </c>
      <c r="K67" s="49">
        <v>0.1</v>
      </c>
      <c r="L67" s="49">
        <v>0.1</v>
      </c>
      <c r="M67" s="21">
        <v>0.09</v>
      </c>
      <c r="N67" s="21">
        <v>0.1</v>
      </c>
      <c r="O67" s="21">
        <v>0.67</v>
      </c>
      <c r="P67" s="50">
        <f t="shared" si="1"/>
        <v>6.7</v>
      </c>
      <c r="Q67" s="50">
        <f t="shared" si="25"/>
        <v>0.67</v>
      </c>
      <c r="R67" s="50">
        <f t="shared" si="16"/>
        <v>6.7</v>
      </c>
      <c r="S67" s="21">
        <v>0.1</v>
      </c>
      <c r="T67" s="165">
        <v>0</v>
      </c>
      <c r="U67" s="50">
        <f t="shared" si="27"/>
        <v>0</v>
      </c>
      <c r="V67" s="50">
        <v>0</v>
      </c>
      <c r="W67" s="50">
        <f>T67/K67</f>
        <v>0</v>
      </c>
      <c r="X67" s="21">
        <v>0.1</v>
      </c>
      <c r="Y67" s="21">
        <v>0</v>
      </c>
      <c r="Z67" s="179">
        <f t="shared" si="24"/>
        <v>0</v>
      </c>
      <c r="AA67" s="153">
        <f t="shared" si="26"/>
        <v>0</v>
      </c>
      <c r="AB67" s="129">
        <f t="shared" si="19"/>
        <v>0</v>
      </c>
      <c r="AC67" s="170" t="s">
        <v>475</v>
      </c>
    </row>
    <row r="68" spans="1:29" s="20" customFormat="1" ht="120" customHeight="1" x14ac:dyDescent="0.25">
      <c r="A68" s="193"/>
      <c r="B68" s="192"/>
      <c r="C68" s="196"/>
      <c r="D68" s="154">
        <v>2</v>
      </c>
      <c r="E68" s="155" t="s">
        <v>62</v>
      </c>
      <c r="F68" s="154">
        <v>2</v>
      </c>
      <c r="G68" s="154" t="s">
        <v>60</v>
      </c>
      <c r="H68" s="155" t="s">
        <v>355</v>
      </c>
      <c r="I68" s="156" t="s">
        <v>60</v>
      </c>
      <c r="J68" s="52" t="s">
        <v>259</v>
      </c>
      <c r="K68" s="49">
        <v>1</v>
      </c>
      <c r="L68" s="49">
        <v>0.43</v>
      </c>
      <c r="M68" s="21">
        <v>0.43</v>
      </c>
      <c r="N68" s="21">
        <v>0.6</v>
      </c>
      <c r="O68" s="21">
        <v>0.83</v>
      </c>
      <c r="P68" s="50">
        <f t="shared" si="1"/>
        <v>1.3833333333333333</v>
      </c>
      <c r="Q68" s="50">
        <f t="shared" si="25"/>
        <v>0.83</v>
      </c>
      <c r="R68" s="50">
        <f t="shared" si="16"/>
        <v>0.83</v>
      </c>
      <c r="S68" s="21">
        <v>0.8</v>
      </c>
      <c r="T68" s="165">
        <v>1</v>
      </c>
      <c r="U68" s="50">
        <f t="shared" ref="U68:U76" si="28">T68/S68</f>
        <v>1.25</v>
      </c>
      <c r="V68" s="50">
        <v>1</v>
      </c>
      <c r="W68" s="50">
        <f t="shared" ref="W68:W76" si="29">V68/K68</f>
        <v>1</v>
      </c>
      <c r="X68" s="21">
        <v>1</v>
      </c>
      <c r="Y68" s="21">
        <v>0.5</v>
      </c>
      <c r="Z68" s="179">
        <f t="shared" si="24"/>
        <v>0.5</v>
      </c>
      <c r="AA68" s="153">
        <f t="shared" si="26"/>
        <v>0.5</v>
      </c>
      <c r="AB68" s="129">
        <f t="shared" si="19"/>
        <v>0.5</v>
      </c>
      <c r="AC68" s="170" t="s">
        <v>471</v>
      </c>
    </row>
    <row r="69" spans="1:29" s="20" customFormat="1" ht="120" customHeight="1" x14ac:dyDescent="0.25">
      <c r="A69" s="193"/>
      <c r="B69" s="192"/>
      <c r="C69" s="196"/>
      <c r="D69" s="154">
        <v>3</v>
      </c>
      <c r="E69" s="155" t="s">
        <v>63</v>
      </c>
      <c r="F69" s="154">
        <v>3</v>
      </c>
      <c r="G69" s="154" t="s">
        <v>60</v>
      </c>
      <c r="H69" s="155" t="s">
        <v>64</v>
      </c>
      <c r="I69" s="156" t="s">
        <v>60</v>
      </c>
      <c r="J69" s="154" t="s">
        <v>317</v>
      </c>
      <c r="K69" s="49">
        <v>1</v>
      </c>
      <c r="L69" s="49">
        <v>0.6</v>
      </c>
      <c r="M69" s="21">
        <v>0.6</v>
      </c>
      <c r="N69" s="21">
        <v>0.75</v>
      </c>
      <c r="O69" s="21">
        <v>0.85</v>
      </c>
      <c r="P69" s="50">
        <f t="shared" si="1"/>
        <v>1.1333333333333333</v>
      </c>
      <c r="Q69" s="50">
        <f t="shared" si="25"/>
        <v>0.85</v>
      </c>
      <c r="R69" s="50">
        <f t="shared" si="16"/>
        <v>0.85</v>
      </c>
      <c r="S69" s="21">
        <v>0.9</v>
      </c>
      <c r="T69" s="165">
        <v>0.91239999999999999</v>
      </c>
      <c r="U69" s="50">
        <f t="shared" si="28"/>
        <v>1.0137777777777777</v>
      </c>
      <c r="V69" s="50">
        <f>T69</f>
        <v>0.91239999999999999</v>
      </c>
      <c r="W69" s="50">
        <f t="shared" si="29"/>
        <v>0.91239999999999999</v>
      </c>
      <c r="X69" s="21">
        <v>1</v>
      </c>
      <c r="Y69" s="21">
        <v>0.5</v>
      </c>
      <c r="Z69" s="179">
        <f t="shared" si="24"/>
        <v>0.5</v>
      </c>
      <c r="AA69" s="153">
        <f t="shared" si="26"/>
        <v>0.5</v>
      </c>
      <c r="AB69" s="129">
        <f t="shared" si="19"/>
        <v>0.5</v>
      </c>
      <c r="AC69" s="170" t="s">
        <v>472</v>
      </c>
    </row>
    <row r="70" spans="1:29" s="20" customFormat="1" ht="120" customHeight="1" x14ac:dyDescent="0.25">
      <c r="A70" s="193"/>
      <c r="B70" s="192"/>
      <c r="C70" s="196"/>
      <c r="D70" s="154">
        <v>4</v>
      </c>
      <c r="E70" s="155" t="s">
        <v>357</v>
      </c>
      <c r="F70" s="154">
        <v>4</v>
      </c>
      <c r="G70" s="154" t="s">
        <v>66</v>
      </c>
      <c r="H70" s="155" t="s">
        <v>67</v>
      </c>
      <c r="I70" s="156" t="s">
        <v>66</v>
      </c>
      <c r="J70" s="154" t="s">
        <v>279</v>
      </c>
      <c r="K70" s="49">
        <v>1</v>
      </c>
      <c r="L70" s="49">
        <v>1</v>
      </c>
      <c r="M70" s="21">
        <v>0.99</v>
      </c>
      <c r="N70" s="21">
        <v>1</v>
      </c>
      <c r="O70" s="21">
        <v>1</v>
      </c>
      <c r="P70" s="50">
        <f t="shared" si="1"/>
        <v>1</v>
      </c>
      <c r="Q70" s="50">
        <f t="shared" si="25"/>
        <v>1</v>
      </c>
      <c r="R70" s="50">
        <f t="shared" si="16"/>
        <v>1</v>
      </c>
      <c r="S70" s="21">
        <v>1</v>
      </c>
      <c r="T70" s="165">
        <v>1</v>
      </c>
      <c r="U70" s="50">
        <f t="shared" si="28"/>
        <v>1</v>
      </c>
      <c r="V70" s="50">
        <v>1</v>
      </c>
      <c r="W70" s="50">
        <f t="shared" si="29"/>
        <v>1</v>
      </c>
      <c r="X70" s="21">
        <v>1</v>
      </c>
      <c r="Y70" s="21">
        <v>0.5</v>
      </c>
      <c r="Z70" s="179">
        <f t="shared" si="24"/>
        <v>0.5</v>
      </c>
      <c r="AA70" s="153">
        <f t="shared" si="26"/>
        <v>0.5</v>
      </c>
      <c r="AB70" s="129">
        <f t="shared" si="19"/>
        <v>0.5</v>
      </c>
      <c r="AC70" s="170" t="s">
        <v>476</v>
      </c>
    </row>
    <row r="71" spans="1:29" s="20" customFormat="1" ht="120" customHeight="1" x14ac:dyDescent="0.25">
      <c r="A71" s="193"/>
      <c r="B71" s="192"/>
      <c r="C71" s="196"/>
      <c r="D71" s="154">
        <v>5</v>
      </c>
      <c r="E71" s="155" t="s">
        <v>68</v>
      </c>
      <c r="F71" s="154">
        <v>5</v>
      </c>
      <c r="G71" s="154" t="s">
        <v>358</v>
      </c>
      <c r="H71" s="155" t="s">
        <v>359</v>
      </c>
      <c r="I71" s="156" t="s">
        <v>60</v>
      </c>
      <c r="J71" s="154" t="s">
        <v>259</v>
      </c>
      <c r="K71" s="50">
        <v>1</v>
      </c>
      <c r="L71" s="50">
        <v>1</v>
      </c>
      <c r="M71" s="50">
        <v>1</v>
      </c>
      <c r="N71" s="50">
        <v>1</v>
      </c>
      <c r="O71" s="50">
        <v>1</v>
      </c>
      <c r="P71" s="50">
        <f t="shared" ref="P71:P76" si="30">O71/N71</f>
        <v>1</v>
      </c>
      <c r="Q71" s="50">
        <f t="shared" si="25"/>
        <v>1</v>
      </c>
      <c r="R71" s="50">
        <f t="shared" si="16"/>
        <v>1</v>
      </c>
      <c r="S71" s="50">
        <v>1</v>
      </c>
      <c r="T71" s="165">
        <v>1</v>
      </c>
      <c r="U71" s="50">
        <f t="shared" si="28"/>
        <v>1</v>
      </c>
      <c r="V71" s="50">
        <v>1</v>
      </c>
      <c r="W71" s="50">
        <f t="shared" si="29"/>
        <v>1</v>
      </c>
      <c r="X71" s="50">
        <v>1</v>
      </c>
      <c r="Y71" s="50">
        <v>0.5</v>
      </c>
      <c r="Z71" s="179">
        <f t="shared" si="24"/>
        <v>0.5</v>
      </c>
      <c r="AA71" s="164">
        <f t="shared" si="26"/>
        <v>0.5</v>
      </c>
      <c r="AB71" s="129">
        <f t="shared" si="19"/>
        <v>0.5</v>
      </c>
      <c r="AC71" s="170" t="s">
        <v>474</v>
      </c>
    </row>
    <row r="72" spans="1:29" s="20" customFormat="1" ht="120" customHeight="1" x14ac:dyDescent="0.25">
      <c r="A72" s="193"/>
      <c r="B72" s="192"/>
      <c r="C72" s="196"/>
      <c r="D72" s="192">
        <v>6</v>
      </c>
      <c r="E72" s="198" t="s">
        <v>69</v>
      </c>
      <c r="F72" s="192">
        <v>6</v>
      </c>
      <c r="G72" s="192" t="s">
        <v>361</v>
      </c>
      <c r="H72" s="155" t="s">
        <v>362</v>
      </c>
      <c r="I72" s="156" t="s">
        <v>155</v>
      </c>
      <c r="J72" s="185"/>
      <c r="K72" s="49">
        <v>0.9</v>
      </c>
      <c r="L72" s="49">
        <v>0.9</v>
      </c>
      <c r="M72" s="21">
        <v>0.94</v>
      </c>
      <c r="N72" s="21">
        <v>0.9</v>
      </c>
      <c r="O72" s="21">
        <v>1</v>
      </c>
      <c r="P72" s="50">
        <f t="shared" si="30"/>
        <v>1.1111111111111112</v>
      </c>
      <c r="Q72" s="50">
        <f t="shared" si="25"/>
        <v>1</v>
      </c>
      <c r="R72" s="50">
        <f t="shared" si="16"/>
        <v>1.1111111111111112</v>
      </c>
      <c r="S72" s="21">
        <v>0.9</v>
      </c>
      <c r="T72" s="165">
        <v>1.1599999999999999</v>
      </c>
      <c r="U72" s="50">
        <f t="shared" si="28"/>
        <v>1.2888888888888888</v>
      </c>
      <c r="V72" s="50">
        <v>1.1599999999999999</v>
      </c>
      <c r="W72" s="50">
        <f t="shared" si="29"/>
        <v>1.2888888888888888</v>
      </c>
      <c r="X72" s="21">
        <v>0.9</v>
      </c>
      <c r="Y72" s="21">
        <v>0.44</v>
      </c>
      <c r="Z72" s="179">
        <f t="shared" si="24"/>
        <v>0.48888888888888887</v>
      </c>
      <c r="AA72" s="153">
        <f t="shared" si="26"/>
        <v>0.44</v>
      </c>
      <c r="AB72" s="129">
        <f t="shared" si="19"/>
        <v>0.48888888888888887</v>
      </c>
      <c r="AC72" s="170" t="s">
        <v>459</v>
      </c>
    </row>
    <row r="73" spans="1:29" s="20" customFormat="1" ht="120" customHeight="1" x14ac:dyDescent="0.25">
      <c r="A73" s="193"/>
      <c r="B73" s="192"/>
      <c r="C73" s="196"/>
      <c r="D73" s="192"/>
      <c r="E73" s="198"/>
      <c r="F73" s="192"/>
      <c r="G73" s="192"/>
      <c r="H73" s="155" t="s">
        <v>70</v>
      </c>
      <c r="I73" s="156" t="s">
        <v>155</v>
      </c>
      <c r="J73" s="154" t="s">
        <v>260</v>
      </c>
      <c r="K73" s="49">
        <v>0.8</v>
      </c>
      <c r="L73" s="52">
        <v>0.8</v>
      </c>
      <c r="M73" s="22">
        <v>0.94</v>
      </c>
      <c r="N73" s="22">
        <v>0.8</v>
      </c>
      <c r="O73" s="22">
        <v>0.96</v>
      </c>
      <c r="P73" s="50">
        <f t="shared" si="30"/>
        <v>1.2</v>
      </c>
      <c r="Q73" s="50">
        <f t="shared" si="25"/>
        <v>0.96</v>
      </c>
      <c r="R73" s="50">
        <f t="shared" si="16"/>
        <v>1.2</v>
      </c>
      <c r="S73" s="22">
        <v>0.8</v>
      </c>
      <c r="T73" s="165">
        <v>0.96</v>
      </c>
      <c r="U73" s="50">
        <f t="shared" si="28"/>
        <v>1.2</v>
      </c>
      <c r="V73" s="50">
        <v>0.96</v>
      </c>
      <c r="W73" s="50">
        <f t="shared" si="29"/>
        <v>1.2</v>
      </c>
      <c r="X73" s="22">
        <v>0.8</v>
      </c>
      <c r="Y73" s="22">
        <v>0.96599999999999997</v>
      </c>
      <c r="Z73" s="179">
        <f t="shared" si="24"/>
        <v>1.2074999999999998</v>
      </c>
      <c r="AA73" s="153">
        <f t="shared" si="26"/>
        <v>0.96599999999999997</v>
      </c>
      <c r="AB73" s="129">
        <f t="shared" si="19"/>
        <v>1.2074999999999998</v>
      </c>
      <c r="AC73" s="170" t="s">
        <v>460</v>
      </c>
    </row>
    <row r="74" spans="1:29" s="20" customFormat="1" ht="120" customHeight="1" x14ac:dyDescent="0.25">
      <c r="A74" s="193"/>
      <c r="B74" s="192"/>
      <c r="C74" s="196"/>
      <c r="D74" s="154">
        <v>7</v>
      </c>
      <c r="E74" s="155" t="s">
        <v>363</v>
      </c>
      <c r="F74" s="154">
        <v>7</v>
      </c>
      <c r="G74" s="154" t="s">
        <v>364</v>
      </c>
      <c r="H74" s="155" t="s">
        <v>71</v>
      </c>
      <c r="I74" s="156" t="s">
        <v>153</v>
      </c>
      <c r="J74" s="49">
        <v>0.9</v>
      </c>
      <c r="K74" s="49">
        <v>0.96</v>
      </c>
      <c r="L74" s="117">
        <v>0.91</v>
      </c>
      <c r="M74" s="118">
        <v>0.91</v>
      </c>
      <c r="N74" s="118">
        <v>0.92</v>
      </c>
      <c r="O74" s="118">
        <v>0.92</v>
      </c>
      <c r="P74" s="50">
        <f t="shared" si="30"/>
        <v>1</v>
      </c>
      <c r="Q74" s="50">
        <f t="shared" si="25"/>
        <v>0.92</v>
      </c>
      <c r="R74" s="50">
        <f t="shared" si="16"/>
        <v>0.95833333333333337</v>
      </c>
      <c r="S74" s="118">
        <v>0.94</v>
      </c>
      <c r="T74" s="165">
        <v>0.94</v>
      </c>
      <c r="U74" s="50">
        <f t="shared" si="28"/>
        <v>1</v>
      </c>
      <c r="V74" s="50">
        <f>T74</f>
        <v>0.94</v>
      </c>
      <c r="W74" s="50">
        <f t="shared" si="29"/>
        <v>0.97916666666666663</v>
      </c>
      <c r="X74" s="118">
        <v>0.96</v>
      </c>
      <c r="Y74" s="118">
        <v>0.94</v>
      </c>
      <c r="Z74" s="179">
        <f>Y74/X74</f>
        <v>0.97916666666666663</v>
      </c>
      <c r="AA74" s="164">
        <f t="shared" si="26"/>
        <v>0.94</v>
      </c>
      <c r="AB74" s="129">
        <f t="shared" si="19"/>
        <v>0.97916666666666663</v>
      </c>
      <c r="AC74" s="170" t="s">
        <v>456</v>
      </c>
    </row>
    <row r="75" spans="1:29" s="20" customFormat="1" ht="120" customHeight="1" x14ac:dyDescent="0.25">
      <c r="A75" s="193"/>
      <c r="B75" s="192"/>
      <c r="C75" s="196"/>
      <c r="D75" s="154">
        <v>8</v>
      </c>
      <c r="E75" s="155" t="s">
        <v>72</v>
      </c>
      <c r="F75" s="154">
        <v>8</v>
      </c>
      <c r="G75" s="154" t="s">
        <v>366</v>
      </c>
      <c r="H75" s="155" t="s">
        <v>73</v>
      </c>
      <c r="I75" s="156" t="s">
        <v>154</v>
      </c>
      <c r="J75" s="154" t="s">
        <v>260</v>
      </c>
      <c r="K75" s="154">
        <v>7</v>
      </c>
      <c r="L75" s="154">
        <v>2</v>
      </c>
      <c r="M75" s="18">
        <v>2</v>
      </c>
      <c r="N75" s="18">
        <v>4</v>
      </c>
      <c r="O75" s="18">
        <v>4</v>
      </c>
      <c r="P75" s="50">
        <f t="shared" si="30"/>
        <v>1</v>
      </c>
      <c r="Q75" s="133">
        <f t="shared" si="25"/>
        <v>4</v>
      </c>
      <c r="R75" s="50">
        <f t="shared" si="16"/>
        <v>0.5714285714285714</v>
      </c>
      <c r="S75" s="18">
        <v>6</v>
      </c>
      <c r="T75" s="26">
        <v>5</v>
      </c>
      <c r="U75" s="50">
        <f t="shared" si="28"/>
        <v>0.83333333333333337</v>
      </c>
      <c r="V75" s="26">
        <f>T75</f>
        <v>5</v>
      </c>
      <c r="W75" s="50">
        <f t="shared" si="29"/>
        <v>0.7142857142857143</v>
      </c>
      <c r="X75" s="18">
        <v>7</v>
      </c>
      <c r="Y75" s="18">
        <f>V75+1</f>
        <v>6</v>
      </c>
      <c r="Z75" s="179">
        <f t="shared" si="24"/>
        <v>0.8571428571428571</v>
      </c>
      <c r="AA75" s="160">
        <f t="shared" si="26"/>
        <v>6</v>
      </c>
      <c r="AB75" s="129">
        <f t="shared" si="19"/>
        <v>0.8571428571428571</v>
      </c>
      <c r="AC75" s="170" t="s">
        <v>457</v>
      </c>
    </row>
    <row r="76" spans="1:29" s="20" customFormat="1" ht="120" customHeight="1" thickBot="1" x14ac:dyDescent="0.3">
      <c r="A76" s="194"/>
      <c r="B76" s="195"/>
      <c r="C76" s="197"/>
      <c r="D76" s="158">
        <v>9</v>
      </c>
      <c r="E76" s="122" t="s">
        <v>74</v>
      </c>
      <c r="F76" s="158">
        <v>9</v>
      </c>
      <c r="G76" s="158" t="s">
        <v>1</v>
      </c>
      <c r="H76" s="122" t="s">
        <v>75</v>
      </c>
      <c r="I76" s="159" t="s">
        <v>1</v>
      </c>
      <c r="J76" s="64">
        <v>0.75</v>
      </c>
      <c r="K76" s="183">
        <v>0.85</v>
      </c>
      <c r="L76" s="71">
        <v>0.78</v>
      </c>
      <c r="M76" s="127">
        <v>0.89659999999999995</v>
      </c>
      <c r="N76" s="40">
        <v>0.8</v>
      </c>
      <c r="O76" s="40">
        <v>0.88</v>
      </c>
      <c r="P76" s="134">
        <f t="shared" si="30"/>
        <v>1.0999999999999999</v>
      </c>
      <c r="Q76" s="134">
        <f t="shared" si="25"/>
        <v>0.88</v>
      </c>
      <c r="R76" s="134">
        <f t="shared" si="16"/>
        <v>1.0352941176470589</v>
      </c>
      <c r="S76" s="40">
        <v>0.83</v>
      </c>
      <c r="T76" s="184">
        <v>0.88</v>
      </c>
      <c r="U76" s="134">
        <f t="shared" si="28"/>
        <v>1.0602409638554218</v>
      </c>
      <c r="V76" s="134">
        <v>0.88</v>
      </c>
      <c r="W76" s="134">
        <f t="shared" si="29"/>
        <v>1.0352941176470589</v>
      </c>
      <c r="X76" s="40">
        <v>0.85</v>
      </c>
      <c r="Y76" s="40">
        <v>1</v>
      </c>
      <c r="Z76" s="180">
        <f t="shared" si="24"/>
        <v>1.1764705882352942</v>
      </c>
      <c r="AA76" s="168">
        <f t="shared" si="26"/>
        <v>1</v>
      </c>
      <c r="AB76" s="132">
        <f t="shared" si="19"/>
        <v>1.1764705882352942</v>
      </c>
      <c r="AC76" s="224" t="s">
        <v>469</v>
      </c>
    </row>
    <row r="77" spans="1:29" s="20" customFormat="1" ht="26.45" customHeight="1" x14ac:dyDescent="0.25">
      <c r="A77" s="138"/>
      <c r="B77" s="138"/>
      <c r="C77" s="139"/>
      <c r="D77" s="138"/>
      <c r="E77" s="140"/>
      <c r="F77" s="138"/>
      <c r="G77" s="138"/>
      <c r="H77" s="140"/>
      <c r="I77" s="138"/>
      <c r="J77" s="141"/>
      <c r="K77" s="142"/>
      <c r="L77" s="143"/>
      <c r="M77" s="144"/>
      <c r="N77" s="136"/>
      <c r="O77" s="136"/>
      <c r="P77" s="135"/>
      <c r="Q77" s="135"/>
      <c r="R77" s="135"/>
      <c r="S77" s="145"/>
      <c r="T77" s="146"/>
      <c r="U77" s="147"/>
      <c r="V77" s="147"/>
      <c r="W77" s="147"/>
      <c r="X77" s="136"/>
      <c r="Y77" s="136"/>
      <c r="Z77" s="148"/>
      <c r="AA77" s="148"/>
      <c r="AB77" s="148"/>
      <c r="AC77" s="148"/>
    </row>
    <row r="78" spans="1:29" x14ac:dyDescent="0.2">
      <c r="N78" s="218" t="s">
        <v>389</v>
      </c>
      <c r="O78" s="218"/>
      <c r="P78" s="48"/>
    </row>
    <row r="79" spans="1:29" x14ac:dyDescent="0.2">
      <c r="N79" s="187" t="s">
        <v>390</v>
      </c>
      <c r="O79" s="188">
        <f>AVERAGE(AB5:AB12)</f>
        <v>1.4848917748917749</v>
      </c>
      <c r="P79" s="48"/>
    </row>
    <row r="80" spans="1:29" x14ac:dyDescent="0.2">
      <c r="N80" s="187" t="s">
        <v>391</v>
      </c>
      <c r="O80" s="188">
        <f>AVERAGE(AB13:AB21)</f>
        <v>0.97259444926476291</v>
      </c>
      <c r="P80" s="48"/>
    </row>
    <row r="81" spans="14:16" x14ac:dyDescent="0.2">
      <c r="N81" s="187" t="s">
        <v>392</v>
      </c>
      <c r="O81" s="188">
        <f>AVERAGE(AB22:AB36)</f>
        <v>1.1238766948402883</v>
      </c>
      <c r="P81" s="48"/>
    </row>
    <row r="82" spans="14:16" x14ac:dyDescent="0.2">
      <c r="N82" s="187" t="s">
        <v>393</v>
      </c>
      <c r="O82" s="188">
        <f>AVERAGE(AB37:AB39)</f>
        <v>1.1135711940083333</v>
      </c>
      <c r="P82" s="48"/>
    </row>
    <row r="83" spans="14:16" x14ac:dyDescent="0.2">
      <c r="N83" s="187" t="s">
        <v>394</v>
      </c>
      <c r="O83" s="188">
        <f>AVERAGE(AB40:AB44)</f>
        <v>0.8116254294084323</v>
      </c>
      <c r="P83" s="48"/>
    </row>
    <row r="84" spans="14:16" x14ac:dyDescent="0.2">
      <c r="N84" s="187" t="s">
        <v>395</v>
      </c>
      <c r="O84" s="188">
        <f>AVERAGE(AB45:AB54)</f>
        <v>1.0047805326565558</v>
      </c>
      <c r="P84" s="48"/>
    </row>
    <row r="85" spans="14:16" x14ac:dyDescent="0.2">
      <c r="N85" s="187" t="s">
        <v>396</v>
      </c>
      <c r="O85" s="188">
        <f>AVERAGE(AB55:AB64)</f>
        <v>1.0187117451972136</v>
      </c>
      <c r="P85" s="48"/>
    </row>
    <row r="86" spans="14:16" x14ac:dyDescent="0.2">
      <c r="N86" s="187" t="s">
        <v>397</v>
      </c>
      <c r="O86" s="188">
        <f>AVERAGE(AB65:AB76)</f>
        <v>0.63081872821988538</v>
      </c>
      <c r="P86" s="48"/>
    </row>
    <row r="87" spans="14:16" x14ac:dyDescent="0.2">
      <c r="N87" s="187" t="s">
        <v>398</v>
      </c>
      <c r="O87" s="188">
        <f>AVERAGE(O79:O86)</f>
        <v>1.020108818560906</v>
      </c>
      <c r="P87" s="48"/>
    </row>
  </sheetData>
  <autoFilter ref="A4:AE76" xr:uid="{A20A82E7-32A5-44A7-8C4A-27A970CA5759}"/>
  <mergeCells count="105">
    <mergeCell ref="C13:C21"/>
    <mergeCell ref="D13:D15"/>
    <mergeCell ref="E13:E15"/>
    <mergeCell ref="F13:F15"/>
    <mergeCell ref="G13:G15"/>
    <mergeCell ref="A1:E3"/>
    <mergeCell ref="A5:A12"/>
    <mergeCell ref="B5:B12"/>
    <mergeCell ref="C5:C12"/>
    <mergeCell ref="D5:D7"/>
    <mergeCell ref="E5:E7"/>
    <mergeCell ref="F5:F7"/>
    <mergeCell ref="G5:G7"/>
    <mergeCell ref="D8:D11"/>
    <mergeCell ref="D16:D18"/>
    <mergeCell ref="E16:E18"/>
    <mergeCell ref="F16:F18"/>
    <mergeCell ref="G16:G18"/>
    <mergeCell ref="D19:D20"/>
    <mergeCell ref="E19:E20"/>
    <mergeCell ref="F19:F20"/>
    <mergeCell ref="E8:E11"/>
    <mergeCell ref="F8:F11"/>
    <mergeCell ref="G8:G11"/>
    <mergeCell ref="A37:A39"/>
    <mergeCell ref="B37:B39"/>
    <mergeCell ref="C37:C39"/>
    <mergeCell ref="D38:D39"/>
    <mergeCell ref="E38:E39"/>
    <mergeCell ref="F38:F39"/>
    <mergeCell ref="G22:G26"/>
    <mergeCell ref="D27:D32"/>
    <mergeCell ref="E27:E32"/>
    <mergeCell ref="F27:F32"/>
    <mergeCell ref="G27:G32"/>
    <mergeCell ref="D34:D36"/>
    <mergeCell ref="E34:E36"/>
    <mergeCell ref="F34:F36"/>
    <mergeCell ref="G34:G36"/>
    <mergeCell ref="A22:A36"/>
    <mergeCell ref="B22:B36"/>
    <mergeCell ref="C22:C36"/>
    <mergeCell ref="D22:D26"/>
    <mergeCell ref="E22:E26"/>
    <mergeCell ref="F22:F26"/>
    <mergeCell ref="A13:A21"/>
    <mergeCell ref="B13:B21"/>
    <mergeCell ref="G40:G42"/>
    <mergeCell ref="D43:D44"/>
    <mergeCell ref="E43:E44"/>
    <mergeCell ref="F43:F44"/>
    <mergeCell ref="G43:G44"/>
    <mergeCell ref="A45:A54"/>
    <mergeCell ref="B45:B54"/>
    <mergeCell ref="C45:C54"/>
    <mergeCell ref="D45:D46"/>
    <mergeCell ref="E45:E46"/>
    <mergeCell ref="A40:A44"/>
    <mergeCell ref="B40:B44"/>
    <mergeCell ref="C40:C44"/>
    <mergeCell ref="D40:D42"/>
    <mergeCell ref="E40:E42"/>
    <mergeCell ref="F40:F42"/>
    <mergeCell ref="G50:G51"/>
    <mergeCell ref="D52:D53"/>
    <mergeCell ref="E52:E53"/>
    <mergeCell ref="F52:F53"/>
    <mergeCell ref="G52:G53"/>
    <mergeCell ref="F45:F46"/>
    <mergeCell ref="F72:F73"/>
    <mergeCell ref="G72:G73"/>
    <mergeCell ref="G47:G49"/>
    <mergeCell ref="G45:G46"/>
    <mergeCell ref="D50:D51"/>
    <mergeCell ref="E50:E51"/>
    <mergeCell ref="F50:F51"/>
    <mergeCell ref="G55:G58"/>
    <mergeCell ref="D59:D62"/>
    <mergeCell ref="E59:E62"/>
    <mergeCell ref="F59:F62"/>
    <mergeCell ref="G59:G62"/>
    <mergeCell ref="N78:O78"/>
    <mergeCell ref="F1:AC1"/>
    <mergeCell ref="A65:A76"/>
    <mergeCell ref="B65:B76"/>
    <mergeCell ref="C65:C76"/>
    <mergeCell ref="D65:D67"/>
    <mergeCell ref="E65:E67"/>
    <mergeCell ref="F65:F67"/>
    <mergeCell ref="D47:D49"/>
    <mergeCell ref="E47:E49"/>
    <mergeCell ref="F47:F49"/>
    <mergeCell ref="A55:A64"/>
    <mergeCell ref="B55:B64"/>
    <mergeCell ref="C55:C64"/>
    <mergeCell ref="D55:D58"/>
    <mergeCell ref="E55:E58"/>
    <mergeCell ref="F55:F58"/>
    <mergeCell ref="D63:D64"/>
    <mergeCell ref="E63:E64"/>
    <mergeCell ref="F63:F64"/>
    <mergeCell ref="G63:G64"/>
    <mergeCell ref="G65:G67"/>
    <mergeCell ref="D72:D73"/>
    <mergeCell ref="E72:E73"/>
  </mergeCells>
  <phoneticPr fontId="20" type="noConversion"/>
  <printOptions horizontalCentered="1"/>
  <pageMargins left="7.874015748031496E-2" right="7.874015748031496E-2" top="0.39370078740157483" bottom="0.19685039370078741" header="0" footer="3.937007874015748E-2"/>
  <pageSetup paperSize="5" scale="38" fitToHeight="0" orientation="landscape" r:id="rId1"/>
  <headerFooter>
    <oddFooter>&amp;R&amp;P</oddFooter>
  </headerFooter>
  <rowBreaks count="1" manualBreakCount="1">
    <brk id="3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H7EN5MXTHQNV-1281-20</_dlc_DocId>
    <_dlc_DocIdUrl xmlns="ae9388c0-b1e2-40ea-b6a8-c51c7913cbd2">
      <Url>https://www.mincultura.gov.co/ministerio/oficinas-y-grupos/oficina%20asesora%20de%20planeacion/planeacion%20estrategica/_layouts/15/DocIdRedir.aspx?ID=H7EN5MXTHQNV-1281-20</Url>
      <Description>H7EN5MXTHQNV-1281-20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396BFD7EC1CE5547B8931E9CE398562B" ma:contentTypeVersion="2" ma:contentTypeDescription="Crear nuevo documento." ma:contentTypeScope="" ma:versionID="11413830d4d82d9e9a70dff001ac5cc8">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5EDB62-306D-445E-A5D2-6EF7A420C614}"/>
</file>

<file path=customXml/itemProps2.xml><?xml version="1.0" encoding="utf-8"?>
<ds:datastoreItem xmlns:ds="http://schemas.openxmlformats.org/officeDocument/2006/customXml" ds:itemID="{A8A2B0A4-BB74-426F-B44F-5F6399A6DAE9}"/>
</file>

<file path=customXml/itemProps3.xml><?xml version="1.0" encoding="utf-8"?>
<ds:datastoreItem xmlns:ds="http://schemas.openxmlformats.org/officeDocument/2006/customXml" ds:itemID="{913BEF97-49B6-4944-860D-1D33FE5F24D1}"/>
</file>

<file path=customXml/itemProps4.xml><?xml version="1.0" encoding="utf-8"?>
<ds:datastoreItem xmlns:ds="http://schemas.openxmlformats.org/officeDocument/2006/customXml" ds:itemID="{CD8A58DF-E8A4-40D1-9F35-EB44332DA0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PEI_2019</vt:lpstr>
      <vt:lpstr>Tbla</vt:lpstr>
      <vt:lpstr>Plan_Estrategico_Institucio_(0)</vt:lpstr>
      <vt:lpstr>PEI 2019-2022</vt:lpstr>
      <vt:lpstr>'PEI 2019-2022'!Área_de_impresión</vt:lpstr>
      <vt:lpstr>'Plan_Estrategico_Institucio_(0)'!Área_de_impresión</vt:lpstr>
      <vt:lpstr>'PEI 2019-2022'!Títulos_a_imprimir</vt:lpstr>
      <vt:lpstr>'Plan_Estrategico_Institucio_(0)'!Títulos_a_imprimir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Hernando Gracia Jimenez</dc:creator>
  <cp:lastModifiedBy>Maria Juliana Zamora Nieto</cp:lastModifiedBy>
  <cp:lastPrinted>2020-10-27T17:22:42Z</cp:lastPrinted>
  <dcterms:created xsi:type="dcterms:W3CDTF">2019-10-09T19:55:58Z</dcterms:created>
  <dcterms:modified xsi:type="dcterms:W3CDTF">2022-07-21T20:38:39Z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0x010100396BFD7EC1CE5547B8931E9CE398562B</vt:lpwstr>
  </property>
  <property fmtid="{D5CDD505-2E9C-101B-9397-08002B2CF9AE}" pid="3" name="_dlc_DocIdItemGuid">
    <vt:lpwstr>f16218fb-df4b-4b5b-9b5c-84dee481f3d0</vt:lpwstr>
  </property>
</Properties>
</file>