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X:\DespachoMinistro\Oficina de Planeacion\049- PLANEACION ESTRATEGICA-PLAN DE DESARROLLO\PND 2018-2022\0. PND - PEI\2. PEI\Seguimiento 2022\"/>
    </mc:Choice>
  </mc:AlternateContent>
  <xr:revisionPtr revIDLastSave="0" documentId="13_ncr:1_{4CD0C47C-0954-463F-A818-0433476A8B93}" xr6:coauthVersionLast="45" xr6:coauthVersionMax="47" xr10:uidLastSave="{00000000-0000-0000-0000-000000000000}"/>
  <bookViews>
    <workbookView xWindow="-120" yWindow="-120" windowWidth="29040" windowHeight="15840" tabRatio="940" firstSheet="3" activeTab="3" xr2:uid="{00000000-000D-0000-FFFF-FFFF00000000}"/>
  </bookViews>
  <sheets>
    <sheet name="PEI_2019" sheetId="8" state="hidden" r:id="rId1"/>
    <sheet name="Tbla" sheetId="10" state="hidden" r:id="rId2"/>
    <sheet name="Plan_Estrategico_Institucio_(0)" sheetId="11" state="hidden" r:id="rId3"/>
    <sheet name="PEI 2019-2022" sheetId="24" r:id="rId4"/>
  </sheets>
  <definedNames>
    <definedName name="_xlnm._FilterDatabase" localSheetId="3" hidden="1">'PEI 2019-2022'!$A$4:$AE$76</definedName>
    <definedName name="_xlnm._FilterDatabase" localSheetId="2" hidden="1">'Plan_Estrategico_Institucio_(0)'!$A$4:$W$77</definedName>
    <definedName name="_xlnm.Print_Area" localSheetId="3">'PEI 2019-2022'!$A$1:$X$76</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2019-2022'!$4:$4</definedName>
    <definedName name="_xlnm.Print_Titles" localSheetId="2">'Plan_Estrategico_Institucio_(0)'!$4:$4</definedName>
  </definedNames>
  <calcPr calcId="191029"/>
  <pivotCaches>
    <pivotCache cacheId="1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74" i="24" l="1"/>
  <c r="AA21" i="24"/>
  <c r="Z11" i="24" l="1"/>
  <c r="AA39" i="24" l="1"/>
  <c r="AB39" i="24" s="1"/>
  <c r="Z39" i="24"/>
  <c r="Z17" i="24" l="1"/>
  <c r="AA16" i="24"/>
  <c r="AB16" i="24" s="1"/>
  <c r="Z16" i="24"/>
  <c r="AA76" i="24" l="1"/>
  <c r="AB76" i="24" s="1"/>
  <c r="Z76" i="24"/>
  <c r="AA74" i="24"/>
  <c r="AB74" i="24" s="1"/>
  <c r="AA73" i="24"/>
  <c r="AB73" i="24" s="1"/>
  <c r="Z73" i="24"/>
  <c r="AA72" i="24"/>
  <c r="AB72" i="24" s="1"/>
  <c r="Z72" i="24"/>
  <c r="AA71" i="24"/>
  <c r="AB71" i="24" s="1"/>
  <c r="Z71" i="24"/>
  <c r="Z70" i="24"/>
  <c r="AA70" i="24"/>
  <c r="AB70" i="24" s="1"/>
  <c r="AA69" i="24"/>
  <c r="AB69" i="24" s="1"/>
  <c r="Z69" i="24"/>
  <c r="AA68" i="24"/>
  <c r="AB68" i="24" s="1"/>
  <c r="Z68" i="24"/>
  <c r="AA67" i="24"/>
  <c r="AB67" i="24" s="1"/>
  <c r="Z67" i="24"/>
  <c r="AA66" i="24"/>
  <c r="AB66" i="24" s="1"/>
  <c r="Z66" i="24"/>
  <c r="AA65" i="24"/>
  <c r="AB65" i="24" s="1"/>
  <c r="Z65" i="24"/>
  <c r="Z64" i="24"/>
  <c r="Z58" i="24"/>
  <c r="AA56" i="24"/>
  <c r="AB56" i="24" s="1"/>
  <c r="Z56" i="24"/>
  <c r="AA50" i="24"/>
  <c r="Z34" i="24"/>
  <c r="AA41" i="24" l="1"/>
  <c r="AB41" i="24" s="1"/>
  <c r="Z41" i="24"/>
  <c r="AA40" i="24"/>
  <c r="AB40" i="24" s="1"/>
  <c r="Z40" i="24"/>
  <c r="AA12" i="24" l="1"/>
  <c r="AB12" i="24" s="1"/>
  <c r="Z12" i="24"/>
  <c r="AA25" i="24"/>
  <c r="AB25" i="24" s="1"/>
  <c r="Z25" i="24"/>
  <c r="Z21" i="24"/>
  <c r="Z10" i="24"/>
  <c r="AA60" i="24"/>
  <c r="AB60" i="24" s="1"/>
  <c r="Z60" i="24"/>
  <c r="AA59" i="24"/>
  <c r="AB59" i="24" s="1"/>
  <c r="AA53" i="24"/>
  <c r="AB53" i="24" s="1"/>
  <c r="Z53" i="24" l="1"/>
  <c r="AA52" i="24"/>
  <c r="AB52" i="24" s="1"/>
  <c r="Z52" i="24"/>
  <c r="AA48" i="24"/>
  <c r="AB48" i="24" s="1"/>
  <c r="Z48" i="24"/>
  <c r="AA47" i="24"/>
  <c r="AB47" i="24" s="1"/>
  <c r="Z47" i="24"/>
  <c r="AA46" i="24"/>
  <c r="AB46" i="24" s="1"/>
  <c r="AA45" i="24"/>
  <c r="AB45" i="24" s="1"/>
  <c r="Z45" i="24"/>
  <c r="AA14" i="24" l="1"/>
  <c r="AB14" i="24" s="1"/>
  <c r="Z14" i="24"/>
  <c r="AA13" i="24"/>
  <c r="AB13" i="24" s="1"/>
  <c r="Z13" i="24"/>
  <c r="Z51" i="24"/>
  <c r="AA43" i="24"/>
  <c r="AB43" i="24" s="1"/>
  <c r="Z43" i="24"/>
  <c r="AB49" i="24"/>
  <c r="Z49" i="24"/>
  <c r="AA29" i="24"/>
  <c r="AB29" i="24" s="1"/>
  <c r="Z29" i="24"/>
  <c r="AA28" i="24"/>
  <c r="AB28" i="24" s="1"/>
  <c r="Z28" i="24"/>
  <c r="AA63" i="24"/>
  <c r="AB63" i="24" s="1"/>
  <c r="AA24" i="24"/>
  <c r="AB24" i="24" s="1"/>
  <c r="Z63" i="24"/>
  <c r="Z24" i="24"/>
  <c r="AB50" i="24" l="1"/>
  <c r="W6" i="24"/>
  <c r="Z6" i="24" l="1"/>
  <c r="AA6" i="24"/>
  <c r="AB6" i="24" s="1"/>
  <c r="U13" i="24"/>
  <c r="V13" i="24"/>
  <c r="W13" i="24" s="1"/>
  <c r="U39" i="24"/>
  <c r="U56" i="24"/>
  <c r="W56" i="24"/>
  <c r="U76" i="24" l="1"/>
  <c r="W76" i="24"/>
  <c r="U75" i="24"/>
  <c r="V75" i="24"/>
  <c r="W75" i="24" l="1"/>
  <c r="Y75" i="24"/>
  <c r="U74" i="24"/>
  <c r="V74" i="24"/>
  <c r="W74" i="24" s="1"/>
  <c r="W73" i="24"/>
  <c r="U73" i="24"/>
  <c r="W72" i="24"/>
  <c r="U72" i="24"/>
  <c r="U71" i="24"/>
  <c r="W71" i="24"/>
  <c r="W70" i="24"/>
  <c r="U70" i="24"/>
  <c r="W68" i="24"/>
  <c r="U68" i="24"/>
  <c r="U69" i="24"/>
  <c r="V69" i="24"/>
  <c r="W69" i="24" s="1"/>
  <c r="W65" i="24"/>
  <c r="U65" i="24"/>
  <c r="V65" i="24"/>
  <c r="U64" i="24"/>
  <c r="U62" i="24"/>
  <c r="V62" i="24"/>
  <c r="Y62" i="24" s="1"/>
  <c r="U58" i="24"/>
  <c r="Q58" i="24"/>
  <c r="V58" i="24" s="1"/>
  <c r="U61" i="24"/>
  <c r="W59" i="24"/>
  <c r="W63" i="24"/>
  <c r="U63" i="24"/>
  <c r="U57" i="24"/>
  <c r="V57" i="24"/>
  <c r="U55" i="24"/>
  <c r="V55" i="24"/>
  <c r="U53" i="24"/>
  <c r="U24" i="24"/>
  <c r="U28" i="24"/>
  <c r="U29" i="24"/>
  <c r="U40" i="24"/>
  <c r="U45" i="24"/>
  <c r="U52" i="24"/>
  <c r="V53" i="24"/>
  <c r="W53" i="24" s="1"/>
  <c r="W52" i="24"/>
  <c r="U51" i="24"/>
  <c r="U49" i="24"/>
  <c r="W58" i="24" l="1"/>
  <c r="AA58" i="24"/>
  <c r="AB58" i="24" s="1"/>
  <c r="W62" i="24"/>
  <c r="W55" i="24"/>
  <c r="W57" i="24"/>
  <c r="Y57" i="24"/>
  <c r="AA75" i="24"/>
  <c r="AB75" i="24" s="1"/>
  <c r="O86" i="24" s="1"/>
  <c r="Z75" i="24"/>
  <c r="W47" i="24"/>
  <c r="Z57" i="24" l="1"/>
  <c r="AA57" i="24"/>
  <c r="AB57" i="24" s="1"/>
  <c r="Z55" i="24"/>
  <c r="AA55" i="24"/>
  <c r="AB55" i="24" s="1"/>
  <c r="Z62" i="24"/>
  <c r="AA62" i="24"/>
  <c r="AB62" i="24" s="1"/>
  <c r="W46" i="24"/>
  <c r="W45" i="24"/>
  <c r="U46" i="24"/>
  <c r="U34" i="24"/>
  <c r="V40" i="24"/>
  <c r="W40" i="24" s="1"/>
  <c r="V39" i="24" l="1"/>
  <c r="W39" i="24" s="1"/>
  <c r="U37" i="24"/>
  <c r="V37" i="24"/>
  <c r="U33" i="24"/>
  <c r="V33" i="24"/>
  <c r="Y33" i="24" s="1"/>
  <c r="V25" i="24"/>
  <c r="W25" i="24" s="1"/>
  <c r="V29" i="24"/>
  <c r="W29" i="24" s="1"/>
  <c r="Z33" i="24" l="1"/>
  <c r="AA33" i="24"/>
  <c r="AB33" i="24" s="1"/>
  <c r="W37" i="24"/>
  <c r="AA37" i="24"/>
  <c r="AB37" i="24" s="1"/>
  <c r="W33" i="24"/>
  <c r="V28" i="24"/>
  <c r="W28" i="24" s="1"/>
  <c r="V24" i="24"/>
  <c r="W24" i="24" s="1"/>
  <c r="V21" i="24"/>
  <c r="V17" i="24"/>
  <c r="V16" i="24"/>
  <c r="W16" i="24" s="1"/>
  <c r="V14" i="24"/>
  <c r="V12" i="24"/>
  <c r="W12" i="24" s="1"/>
  <c r="V11" i="24"/>
  <c r="AA11" i="24" s="1"/>
  <c r="AB11" i="24" s="1"/>
  <c r="V8" i="24"/>
  <c r="V6" i="24"/>
  <c r="U20" i="24"/>
  <c r="U19" i="24"/>
  <c r="Q10" i="24"/>
  <c r="V10" i="24" s="1"/>
  <c r="AA10" i="24" s="1"/>
  <c r="AB10" i="24" s="1"/>
  <c r="W66" i="24"/>
  <c r="W67" i="24"/>
  <c r="U6" i="24"/>
  <c r="U25" i="24"/>
  <c r="U21" i="24"/>
  <c r="U17" i="24"/>
  <c r="U16" i="24"/>
  <c r="U12" i="24"/>
  <c r="U10" i="24"/>
  <c r="U7" i="24"/>
  <c r="W8" i="24" l="1"/>
  <c r="AA8" i="24"/>
  <c r="AB8" i="24" s="1"/>
  <c r="W11" i="24"/>
  <c r="W17" i="24"/>
  <c r="AA17" i="24"/>
  <c r="AB17" i="24" s="1"/>
  <c r="W10" i="24"/>
  <c r="W21" i="24"/>
  <c r="AB21" i="24"/>
  <c r="W14" i="24"/>
  <c r="U8" i="24"/>
  <c r="U14" i="24"/>
  <c r="U67" i="24" l="1"/>
  <c r="U66" i="24"/>
  <c r="Q76" i="24"/>
  <c r="R76" i="24" s="1"/>
  <c r="P76" i="24"/>
  <c r="Q75" i="24"/>
  <c r="R75" i="24" s="1"/>
  <c r="P75" i="24"/>
  <c r="Q74" i="24"/>
  <c r="R74" i="24" s="1"/>
  <c r="P74" i="24"/>
  <c r="Q73" i="24"/>
  <c r="R73" i="24" s="1"/>
  <c r="P73" i="24"/>
  <c r="Q72" i="24"/>
  <c r="R72" i="24" s="1"/>
  <c r="P72" i="24"/>
  <c r="Q71" i="24"/>
  <c r="R71" i="24" s="1"/>
  <c r="P71" i="24"/>
  <c r="Q70" i="24"/>
  <c r="R70" i="24" s="1"/>
  <c r="P70" i="24"/>
  <c r="Q69" i="24"/>
  <c r="R69" i="24" s="1"/>
  <c r="P69" i="24"/>
  <c r="Q68" i="24"/>
  <c r="R68" i="24" s="1"/>
  <c r="P68" i="24"/>
  <c r="Q67" i="24"/>
  <c r="R67" i="24" s="1"/>
  <c r="P67" i="24"/>
  <c r="Q66" i="24"/>
  <c r="R66" i="24" s="1"/>
  <c r="P66" i="24"/>
  <c r="Q65" i="24"/>
  <c r="R65" i="24" s="1"/>
  <c r="P65" i="24"/>
  <c r="Q64" i="24"/>
  <c r="P64" i="24"/>
  <c r="Q63" i="24"/>
  <c r="R63" i="24" s="1"/>
  <c r="P63" i="24"/>
  <c r="Q62" i="24"/>
  <c r="R62" i="24" s="1"/>
  <c r="P62" i="24"/>
  <c r="Q61" i="24"/>
  <c r="P61" i="24"/>
  <c r="Q60" i="24"/>
  <c r="R60" i="24" s="1"/>
  <c r="P60" i="24"/>
  <c r="R59" i="24"/>
  <c r="R58" i="24"/>
  <c r="P58" i="24"/>
  <c r="Q57" i="24"/>
  <c r="R57" i="24" s="1"/>
  <c r="P57" i="24"/>
  <c r="Q56" i="24"/>
  <c r="R56" i="24" s="1"/>
  <c r="P56" i="24"/>
  <c r="Q55" i="24"/>
  <c r="R55" i="24" s="1"/>
  <c r="P55" i="24"/>
  <c r="Q54" i="24"/>
  <c r="P54" i="24"/>
  <c r="Q53" i="24"/>
  <c r="R53" i="24" s="1"/>
  <c r="P53" i="24"/>
  <c r="Q52" i="24"/>
  <c r="R52" i="24" s="1"/>
  <c r="P52" i="24"/>
  <c r="Q51" i="24"/>
  <c r="P51" i="24"/>
  <c r="Q50" i="24"/>
  <c r="R50" i="24" s="1"/>
  <c r="P50" i="24"/>
  <c r="Q49" i="24"/>
  <c r="R49" i="24" s="1"/>
  <c r="P49" i="24"/>
  <c r="Q48" i="24"/>
  <c r="P48" i="24"/>
  <c r="Q47" i="24"/>
  <c r="R47" i="24" s="1"/>
  <c r="P47" i="24"/>
  <c r="Q46" i="24"/>
  <c r="R46" i="24" s="1"/>
  <c r="P46" i="24"/>
  <c r="Q45" i="24"/>
  <c r="R45" i="24" s="1"/>
  <c r="P45" i="24"/>
  <c r="Q44" i="24"/>
  <c r="P44" i="24"/>
  <c r="Q43" i="24"/>
  <c r="P43" i="24"/>
  <c r="Q42" i="24"/>
  <c r="P42" i="24"/>
  <c r="Q40" i="24"/>
  <c r="R40" i="24" s="1"/>
  <c r="P40" i="24"/>
  <c r="Q39" i="24"/>
  <c r="R39" i="24" s="1"/>
  <c r="P39" i="24"/>
  <c r="Q38" i="24"/>
  <c r="P38" i="24"/>
  <c r="Q37" i="24"/>
  <c r="R37" i="24" s="1"/>
  <c r="P37" i="24"/>
  <c r="Q36" i="24"/>
  <c r="P36" i="24"/>
  <c r="Q35" i="24"/>
  <c r="P35" i="24"/>
  <c r="Q34" i="24"/>
  <c r="P34" i="24"/>
  <c r="Q33" i="24"/>
  <c r="R33" i="24" s="1"/>
  <c r="P33" i="24"/>
  <c r="Q32" i="24"/>
  <c r="Q31" i="24"/>
  <c r="P31" i="24"/>
  <c r="Q30" i="24"/>
  <c r="P30" i="24"/>
  <c r="Q29" i="24"/>
  <c r="R29" i="24" s="1"/>
  <c r="P29" i="24"/>
  <c r="Q28" i="24"/>
  <c r="R28" i="24" s="1"/>
  <c r="P28" i="24"/>
  <c r="Q27" i="24"/>
  <c r="P27" i="24"/>
  <c r="Q26" i="24"/>
  <c r="P26" i="24"/>
  <c r="Q25" i="24"/>
  <c r="R25" i="24" s="1"/>
  <c r="P25" i="24"/>
  <c r="Q24" i="24"/>
  <c r="R24" i="24" s="1"/>
  <c r="P24" i="24"/>
  <c r="Q23" i="24"/>
  <c r="R23" i="24" s="1"/>
  <c r="P23" i="24"/>
  <c r="Q22" i="24"/>
  <c r="R22" i="24" s="1"/>
  <c r="P22" i="24"/>
  <c r="Q21" i="24"/>
  <c r="R21" i="24" s="1"/>
  <c r="P21" i="24"/>
  <c r="Q20" i="24"/>
  <c r="V20" i="24" s="1"/>
  <c r="P20" i="24"/>
  <c r="Q19" i="24"/>
  <c r="P19" i="24"/>
  <c r="Q18" i="24"/>
  <c r="P18" i="24"/>
  <c r="U18" i="24" s="1"/>
  <c r="Q17" i="24"/>
  <c r="R17" i="24" s="1"/>
  <c r="P17" i="24"/>
  <c r="Q16" i="24"/>
  <c r="R16" i="24" s="1"/>
  <c r="P16" i="24"/>
  <c r="Q15" i="24"/>
  <c r="V15" i="24" s="1"/>
  <c r="W15" i="24" s="1"/>
  <c r="AB15" i="24" s="1"/>
  <c r="P15" i="24"/>
  <c r="Q14" i="24"/>
  <c r="R14" i="24" s="1"/>
  <c r="P14" i="24"/>
  <c r="Q13" i="24"/>
  <c r="R13" i="24" s="1"/>
  <c r="P13" i="24"/>
  <c r="Q12" i="24"/>
  <c r="R12" i="24" s="1"/>
  <c r="P12" i="24"/>
  <c r="R11" i="24"/>
  <c r="P11" i="24"/>
  <c r="P10" i="24"/>
  <c r="Q9" i="24"/>
  <c r="R9" i="24" s="1"/>
  <c r="P9" i="24"/>
  <c r="Q7" i="24"/>
  <c r="V7" i="24" s="1"/>
  <c r="P7" i="24"/>
  <c r="Q6" i="24"/>
  <c r="R6" i="24" s="1"/>
  <c r="P6" i="24"/>
  <c r="W7" i="24" l="1"/>
  <c r="AA7" i="24"/>
  <c r="AB7" i="24" s="1"/>
  <c r="W20" i="24"/>
  <c r="AB20" i="24"/>
  <c r="R36" i="24"/>
  <c r="T36" i="24"/>
  <c r="R42" i="24"/>
  <c r="T42" i="24"/>
  <c r="R54" i="24"/>
  <c r="T54" i="24"/>
  <c r="R44" i="24"/>
  <c r="T44" i="24"/>
  <c r="R48" i="24"/>
  <c r="T48" i="24"/>
  <c r="R32" i="24"/>
  <c r="U32" i="24" s="1"/>
  <c r="V32" i="24"/>
  <c r="R34" i="24"/>
  <c r="V34" i="24"/>
  <c r="R38" i="24"/>
  <c r="T38" i="24"/>
  <c r="R51" i="24"/>
  <c r="V51" i="24"/>
  <c r="R18" i="24"/>
  <c r="V18" i="24"/>
  <c r="R64" i="24"/>
  <c r="V64" i="24"/>
  <c r="R35" i="24"/>
  <c r="T35" i="24"/>
  <c r="R19" i="24"/>
  <c r="V19" i="24"/>
  <c r="R31" i="24"/>
  <c r="T31" i="24"/>
  <c r="R61" i="24"/>
  <c r="V61" i="24"/>
  <c r="Y61" i="24" s="1"/>
  <c r="R15" i="24"/>
  <c r="R20" i="24"/>
  <c r="R7" i="24"/>
  <c r="R10" i="24"/>
  <c r="R30" i="24"/>
  <c r="T30" i="24"/>
  <c r="V30" i="24" s="1"/>
  <c r="Y30" i="24" s="1"/>
  <c r="R27" i="24"/>
  <c r="T27" i="24"/>
  <c r="V27" i="24" s="1"/>
  <c r="R26" i="24"/>
  <c r="T26" i="24"/>
  <c r="R43" i="24"/>
  <c r="T43" i="24"/>
  <c r="T23" i="24"/>
  <c r="T60" i="24"/>
  <c r="T22" i="24"/>
  <c r="T9" i="24"/>
  <c r="V9" i="24" s="1"/>
  <c r="T47" i="24"/>
  <c r="W64" i="24" l="1"/>
  <c r="AA64" i="24"/>
  <c r="AB64" i="24" s="1"/>
  <c r="W34" i="24"/>
  <c r="AA34" i="24"/>
  <c r="AB34" i="24" s="1"/>
  <c r="W61" i="24"/>
  <c r="W30" i="24"/>
  <c r="W18" i="24"/>
  <c r="AB18" i="24" s="1"/>
  <c r="AA18" i="24"/>
  <c r="W32" i="24"/>
  <c r="AB32" i="24" s="1"/>
  <c r="AA32" i="24"/>
  <c r="W19" i="24"/>
  <c r="AA19" i="24"/>
  <c r="AB19" i="24" s="1"/>
  <c r="W9" i="24"/>
  <c r="AA9" i="24"/>
  <c r="AB9" i="24" s="1"/>
  <c r="O79" i="24" s="1"/>
  <c r="W27" i="24"/>
  <c r="AA27" i="24"/>
  <c r="AB27" i="24" s="1"/>
  <c r="W51" i="24"/>
  <c r="AA51" i="24"/>
  <c r="AB51" i="24" s="1"/>
  <c r="V22" i="24"/>
  <c r="W22" i="24" s="1"/>
  <c r="AA22" i="24"/>
  <c r="AB22" i="24" s="1"/>
  <c r="V23" i="24"/>
  <c r="W23" i="24" s="1"/>
  <c r="AA23" i="24"/>
  <c r="AB23" i="24" s="1"/>
  <c r="W54" i="24"/>
  <c r="U54" i="24"/>
  <c r="V54" i="24"/>
  <c r="Y54" i="24" s="1"/>
  <c r="V43" i="24"/>
  <c r="W43" i="24" s="1"/>
  <c r="U43" i="24"/>
  <c r="U42" i="24"/>
  <c r="V42" i="24"/>
  <c r="Y42" i="24" s="1"/>
  <c r="U48" i="24"/>
  <c r="V48" i="24"/>
  <c r="W48" i="24" s="1"/>
  <c r="V38" i="24"/>
  <c r="Y38" i="24" s="1"/>
  <c r="U38" i="24"/>
  <c r="U36" i="24"/>
  <c r="V36" i="24"/>
  <c r="Y36" i="24" s="1"/>
  <c r="U60" i="24"/>
  <c r="V60" i="24"/>
  <c r="W60" i="24" s="1"/>
  <c r="V31" i="24"/>
  <c r="U31" i="24"/>
  <c r="V26" i="24"/>
  <c r="Y26" i="24" s="1"/>
  <c r="AA26" i="24" s="1"/>
  <c r="AB26" i="24" s="1"/>
  <c r="U26" i="24"/>
  <c r="U35" i="24"/>
  <c r="V35" i="24"/>
  <c r="Y35" i="24" s="1"/>
  <c r="V44" i="24"/>
  <c r="Y44" i="24" s="1"/>
  <c r="U44" i="24"/>
  <c r="U47" i="24"/>
  <c r="U9" i="24"/>
  <c r="U30" i="24"/>
  <c r="U27" i="24"/>
  <c r="U23" i="24"/>
  <c r="U22" i="24"/>
  <c r="O38" i="1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 r="AA61" i="24" l="1"/>
  <c r="AB61" i="24" s="1"/>
  <c r="O85" i="24" s="1"/>
  <c r="Z61" i="24"/>
  <c r="W35" i="24"/>
  <c r="W36" i="24"/>
  <c r="Z54" i="24"/>
  <c r="AA54" i="24"/>
  <c r="AB54" i="24" s="1"/>
  <c r="O84" i="24" s="1"/>
  <c r="W38" i="24"/>
  <c r="W42" i="24"/>
  <c r="O80" i="24"/>
  <c r="W31" i="24"/>
  <c r="Y31" i="24"/>
  <c r="AA30" i="24"/>
  <c r="AB30" i="24" s="1"/>
  <c r="Z30" i="24"/>
  <c r="W44" i="24"/>
  <c r="W26" i="24"/>
  <c r="Z42" i="24" l="1"/>
  <c r="AA42" i="24"/>
  <c r="AB42" i="24" s="1"/>
  <c r="Z36" i="24"/>
  <c r="AA36" i="24"/>
  <c r="AB36" i="24" s="1"/>
  <c r="AA38" i="24"/>
  <c r="AB38" i="24" s="1"/>
  <c r="O82" i="24" s="1"/>
  <c r="Z38" i="24"/>
  <c r="AA35" i="24"/>
  <c r="AB35" i="24" s="1"/>
  <c r="Z35" i="24"/>
  <c r="Z31" i="24"/>
  <c r="AA31" i="24"/>
  <c r="AB31" i="24" s="1"/>
  <c r="AA44" i="24"/>
  <c r="AB44" i="24" s="1"/>
  <c r="Z44" i="24"/>
  <c r="Z26" i="24"/>
  <c r="O83" i="24" l="1"/>
  <c r="O81" i="24"/>
  <c r="O87" i="2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<sst xmlns="http://schemas.openxmlformats.org/spreadsheetml/2006/main" count="1437" uniqueCount="478">
  <si>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</si>
  <si>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</si>
  <si>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</si>
  <si>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</si>
  <si>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</si>
  <si>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</si>
  <si>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</si>
  <si>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</si>
  <si>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</si>
  <si>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</si>
  <si>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</si>
  <si>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</si>
  <si>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</si>
  <si>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</si>
  <si>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</si>
  <si>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</si>
  <si>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</si>
  <si>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</si>
  <si>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</si>
  <si>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</si>
  <si>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</si>
  <si>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</si>
  <si>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</si>
  <si>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</si>
  <si>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</si>
  <si>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</si>
  <si>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</si>
  <si>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</si>
  <si>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</si>
  <si>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</si>
  <si>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</si>
  <si>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</si>
  <si>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</si>
  <si>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</si>
  <si>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</si>
  <si>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</si>
  <si>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</si>
  <si>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</si>
  <si>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</si>
  <si>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</si>
  <si>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</si>
  <si>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</si>
  <si>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</si>
  <si>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</si>
  <si>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</si>
  <si>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</si>
  <si>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</si>
  <si>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</si>
  <si>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</si>
  <si>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</si>
  <si>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</si>
  <si>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</si>
  <si>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</si>
  <si>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</si>
  <si>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</si>
  <si>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</si>
  <si>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</si>
  <si>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</si>
  <si>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</si>
  <si>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</si>
  <si>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</si>
  <si>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</si>
  <si>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</si>
  <si>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</si>
  <si>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</si>
  <si>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</si>
  <si>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</si>
  <si>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</si>
  <si>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</si>
  <si>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</si>
  <si>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</si>
  <si>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</si>
  <si>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</si>
  <si>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</si>
  <si>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</si>
  <si>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</si>
  <si>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</si>
  <si>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</si>
  <si>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</si>
  <si>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</si>
  <si>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</si>
  <si>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</si>
  <si>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</si>
  <si>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</si>
  <si>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</si>
  <si>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</si>
  <si>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</si>
  <si>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</si>
  <si>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</si>
  <si>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</si>
  <si>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</si>
  <si>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</si>
  <si>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</si>
  <si>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</si>
  <si>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</si>
  <si>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</si>
  <si>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</si>
  <si>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</si>
  <si>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</si>
  <si>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</si>
  <si>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</si>
  <si>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</si>
  <si>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</si>
  <si>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</si>
  <si>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</si>
  <si>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</si>
  <si>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</si>
  <si>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</si>
  <si>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</si>
  <si>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</si>
  <si>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</si>
  <si>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</si>
  <si>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</si>
  <si>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</si>
  <si>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</si>
  <si>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</si>
  <si>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</si>
  <si>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</si>
  <si>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</si>
  <si>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</si>
  <si>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</si>
  <si>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</si>
  <si>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</si>
  <si>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</si>
  <si>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</si>
  <si>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</si>
  <si>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</si>
  <si>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</si>
  <si>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</si>
  <si>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</si>
  <si>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</si>
  <si>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</si>
  <si>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</si>
  <si>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</si>
  <si>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</si>
  <si>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</si>
  <si>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</si>
  <si>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</si>
  <si>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</si>
  <si>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</si>
  <si>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</si>
  <si>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</si>
  <si>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</si>
  <si>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</si>
  <si>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</si>
  <si>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</si>
  <si>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</si>
  <si>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</si>
  <si>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</si>
  <si>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</si>
  <si>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</si>
  <si>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</si>
  <si>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</si>
  <si>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</si>
  <si>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</si>
  <si>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</si>
  <si>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</si>
  <si>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</si>
  <si>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</si>
  <si>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</si>
  <si>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</si>
  <si>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</si>
  <si>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</si>
  <si>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</si>
  <si>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</si>
  <si>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</si>
  <si>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</si>
  <si>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</si>
  <si>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</si>
  <si>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</si>
  <si>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</si>
  <si>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</si>
  <si>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</si>
  <si>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</si>
  <si>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</si>
  <si>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</si>
  <si>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</si>
  <si>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</si>
  <si>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</si>
  <si>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</si>
  <si>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</si>
  <si>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</si>
  <si>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</si>
  <si>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</si>
  <si>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</si>
  <si>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</si>
  <si>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</si>
  <si>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</si>
  <si>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</si>
  <si>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</si>
  <si>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</si>
  <si>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</si>
  <si>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</si>
  <si>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</si>
  <si>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</si>
  <si>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</si>
  <si>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</si>
  <si>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</si>
  <si>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</si>
  <si>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</si>
  <si>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</si>
  <si>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</si>
  <si>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</si>
  <si>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</si>
  <si>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</si>
  <si>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</si>
  <si>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</si>
  <si>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</si>
  <si>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</si>
  <si>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</si>
  <si>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</si>
  <si>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</si>
  <si>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</si>
  <si>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</si>
  <si>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</si>
  <si>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</si>
  <si>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</si>
  <si>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</si>
  <si>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</si>
  <si>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</si>
  <si>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</si>
  <si>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</si>
  <si>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</si>
  <si>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</si>
  <si>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</si>
  <si>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</si>
  <si>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</si>
  <si>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</si>
  <si>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</si>
  <si>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</si>
  <si>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</si>
  <si>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</si>
  <si>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</si>
  <si>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</si>
  <si>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</si>
  <si>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</si>
  <si>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</si>
  <si>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</si>
  <si>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</si>
  <si>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</si>
  <si>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</si>
  <si>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</si>
  <si>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</si>
  <si>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</si>
  <si>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</si>
  <si>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</si>
  <si>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</si>
  <si>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</si>
  <si>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</si>
  <si>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</si>
  <si>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</si>
  <si>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</si>
  <si>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</si>
  <si>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</si>
  <si>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</si>
  <si>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</si>
  <si>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</si>
  <si>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</si>
  <si>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</si>
  <si>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</si>
  <si>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</si>
  <si>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</si>
  <si>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</si>
  <si>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</si>
  <si>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</si>
  <si>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</si>
  <si>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</si>
  <si>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</si>
  <si>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</si>
  <si>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</si>
  <si>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</si>
  <si>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</si>
  <si>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</si>
  <si>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</si>
  <si>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</si>
  <si>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</si>
  <si>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</si>
  <si>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</si>
  <si>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</si>
  <si>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</si>
  <si>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</si>
  <si>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</si>
  <si>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</si>
  <si>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</si>
  <si>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</si>
  <si>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</si>
  <si>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</si>
  <si>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</si>
  <si>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</si>
  <si>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</si>
  <si>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</si>
  <si>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</si>
  <si>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</si>
  <si>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</si>
  <si>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</si>
  <si>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</si>
  <si>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</si>
  <si>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</si>
  <si>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</si>
  <si>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</si>
  <si>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</si>
  <si>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</si>
  <si>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</si>
  <si>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</si>
  <si>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</si>
  <si>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</si>
  <si>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</si>
  <si>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</si>
  <si>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</si>
  <si>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</si>
  <si>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</si>
  <si>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</si>
  <si>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</si>
  <si>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</si>
  <si>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</si>
  <si>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</si>
  <si>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</si>
  <si>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</si>
  <si>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</si>
  <si>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</si>
  <si>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</si>
  <si>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</si>
  <si>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</si>
  <si>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</si>
  <si>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</si>
  <si>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</si>
  <si>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</si>
  <si>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</si>
  <si>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</si>
  <si>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</si>
  <si>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</si>
  <si>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</si>
  <si>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</si>
  <si>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</si>
  <si>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</si>
  <si>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</si>
  <si>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</si>
  <si>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</si>
  <si>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</si>
  <si>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</si>
  <si>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</si>
  <si>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</si>
  <si>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</si>
  <si>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</si>
  <si>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</si>
  <si>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</si>
  <si>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</si>
  <si>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</si>
  <si>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</si>
  <si>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</si>
  <si>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</si>
  <si>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</si>
  <si>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</si>
  <si>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</si>
  <si>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</si>
  <si>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</si>
  <si>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</si>
  <si>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</si>
  <si>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</si>
  <si>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</si>
  <si>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</si>
  <si>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</si>
  <si>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</si>
  <si>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</si>
  <si>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</si>
  <si>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</si>
  <si>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</si>
  <si>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</si>
  <si>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</si>
  <si>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</si>
  <si>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</si>
  <si>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</si>
  <si>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</si>
  <si>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</si>
  <si>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</si>
  <si>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</si>
  <si>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</si>
  <si>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</si>
  <si>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Nodos y mesas de economía naranja instalados y con asistencia técnica en el territorio nacional</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</si>
  <si>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</si>
  <si>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</si>
  <si>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</si>
  <si>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Dirección de Audiovisuales, Cine y Medios Interactivos</t>
  </si>
  <si>
    <t xml:space="preserve">Dirección de Estrategia, Desarrollo y Emprendimiento
</t>
  </si>
  <si>
    <t xml:space="preserve">Agendas creativas regionales implementadas </t>
  </si>
  <si>
    <t xml:space="preserve">PLAN ESTRATÉGICO INSTITUCIONAL 2019-2022 </t>
  </si>
  <si>
    <t>Politica de turismo cultural actualizada</t>
  </si>
  <si>
    <t>% AVANCE 2020</t>
  </si>
  <si>
    <t>AVANCE ACUMULADO 2020</t>
  </si>
  <si>
    <t>% Avance acumulado cuatrienio</t>
  </si>
  <si>
    <t>Objetivo 1</t>
  </si>
  <si>
    <t>Objetivo 2</t>
  </si>
  <si>
    <t>Objetivo 3</t>
  </si>
  <si>
    <t>Objetivo 4</t>
  </si>
  <si>
    <t>Objetivo 5</t>
  </si>
  <si>
    <t>Objetivo 6</t>
  </si>
  <si>
    <t>Objetivo 7</t>
  </si>
  <si>
    <t>Objetivo 8</t>
  </si>
  <si>
    <t>Promedio total</t>
  </si>
  <si>
    <t>% AVANCE ACUMULADO 2021</t>
  </si>
  <si>
    <t>Cumplido en 2020</t>
  </si>
  <si>
    <t>AVANCE ACUMULADO 2021</t>
  </si>
  <si>
    <t>% AVANCE cuatrienio 2020</t>
  </si>
  <si>
    <t>% AVANCE cuatrienio 2021</t>
  </si>
  <si>
    <t>CIERRE 2020</t>
  </si>
  <si>
    <t>CIERRE 2021</t>
  </si>
  <si>
    <t>AVANCE 2022</t>
  </si>
  <si>
    <t>% AVANCE cuatrienio 2022</t>
  </si>
  <si>
    <t>% AVANCE 2022</t>
  </si>
  <si>
    <t>Meta cumplida en 2020</t>
  </si>
  <si>
    <t>Meta cumplida en 2019</t>
  </si>
  <si>
    <t>Avance acumulado</t>
  </si>
  <si>
    <t>Cumplido en 2021</t>
  </si>
  <si>
    <t>Cumplido en 2019</t>
  </si>
  <si>
    <t xml:space="preserve">Durante el mes de junio el DANE envió el modelo de contratación propuesta, en estudio en el Ministerio de Cultura. El Ministerio de Educación, en reunión del 17 de junio, informó que no requiere preguntas adicionales sino incluir como grupo de interés a los maestros y de forma conjunta (Mincultura y Mineducación) se elaborarán preguntas sobre oralidad. Se realizó reunión con el DANE el 30 de junio para la revisión de todos los temas y poder recibir la comunicación formal con el valor de la encuesta, documento indispensable para las siguientes gestiones, en la cual se acordó un plan de acción tendiente a la planeación y el trámite de contratación. Así mismo, se acordó definir cronograma de trabajo y procedimiento para tener el valor de la encuesta y poder gestionar la contratación.	 </t>
  </si>
  <si>
    <t>Durante el mes de junio el DANE envió el modelo de contratación propuesta, en estudio en el Ministerio de Cultura. El Ministerio de Educación, en reunión del 17 de junio, informó que no requiere preguntas adicionales sino incluir como grupo de interés a los maestros y de forma conjunta (Mincultura y Mineducación) se elaborarán preguntas sobre oralidad. Se realizó reunión con el DANE el 30 de junio para la revisión de todos los temas y poder recibir la comunicación formal con el valor de la encuesta, documento indispensable para las siguientes gestiones, en la cual se acordó un plan de acción tendiente a la planeación y el trámite de contratación. Así mismo, se acordó definir cronograma de trabajo y procedimiento para tener el valor de la encuesta y poder gestionar la contratación.</t>
  </si>
  <si>
    <t>OBSERVACIONES (Junio 2022)</t>
  </si>
  <si>
    <t>Durante el mes de junio de 2022 se digitalizaron, editaron y dispusieron en la Biblioteca Digital de la Biblioteca Nacional 241 recursos digitales, para un total acumulado de 7.300 recursos durante el cuatrienio.	 
En este orden de ideas, se da cumplimiento a la meta establecida para el cuatrienio de 7.300 libros digitales dispuestos al público.</t>
  </si>
  <si>
    <t xml:space="preserve">Con corte a 30 de junio de 2022 se adelantaron las acciones de implementación de las 150 BRI correspondientes a 2022, así: a) adquisición, alistamiento y envío de la maleta de recursos bibliográficos, tecnológicos y didácticos a las 150 bibliotecas y comunidades rurales seleccionadas para la vigencia, b) Acompañamiento técnico y formativo presencial a las 150 comunidades con la participación de 366 mediadores rurales, c) convocatoria, verificación y selección de 116 BRI para la entrega en el mes de julio del incentivo económico para el desarrollo y fortalecimiento de la estrategia de itinerancia, d) Entre el 24 de junio y el 15 de julio se están llevando a cabo los encuentros regionales y nacional de formación e intercambio de experiencias del programa.	 
Contando a la fecha con 600 bibliotecas itinerantes implementadas en el cuatrienio.  	 </t>
  </si>
  <si>
    <t xml:space="preserve">Con corte a junio, un total de 1.218 personas han sido beneficiadas por programas de formación artística y cultural, así: Becas INI - Juventud 2021, 41 jóvenes beneficiados por medio de procesos de formación en territorio. De otra parte, en el marco de la estrategia de Conexiones Diversas, se realizó el primer evento de la Zona Andina para el relacionamiento de Canales regionales, realizadores independientes y colectivos de comunicación con la participación de 47 personas y un segundo encuentro sobre redes y conexiones en la región caribe con la participación de 148 realizadores independientes, creadores de canales regionales y comunitarios. 
Por otra parte, dentro de la estrategia de encuentros para la actualización pedagógica de salas de Danza dotadas, se realizó el encuentro del nodo norte, donde se logró beneficiar a 20 maestros de estas escuelas. Así mismo, desde el área de Literatura se realizaron 2 talleres de formación en alianza con el Cerlalc, beneficiando a 52 personas. En Teatro se benefició a 35 personas por medio del Laboratorio nacional de Teatro comunitario, 65 formados por medio del diplomado virtual Danza Viva, 75 beneficiarios en Talleres literarios y 18 artistas visuales beneficiados de los laboratorios de mediación en el marco del Salón Nacional de Artistas.
También, finalizó en mayo el diplomado en Gestión y Formulación de Proyectos Culturales por medio del cual se beneficiaron 670 personas. El diplomado se realizó de manera virtual en 12 sedes a nivel nacional y de manera semipresencial en cinco (5) sedes ubicadas en: Valledupar, Cesar; Neiva, Huila; Cali, Valle del Cauca; Bucaramanga, Santander y Manizales, Caldas.	
Contando a la fecha con 14.296 personas beneficiadas por programas de formación artística y cultural en el cuatrienio. Cumpliendo así con la meta establecida para el cuatrienio. 	</t>
  </si>
  <si>
    <t>A 30 de junio, la Fundación Nacional Batuta reportó 18.518 inscritos en los 132 centros musicales, quienes iniciaron procesos artísticos y culturales dentro del programa Sonidos de Esperanza.	
A la fecha se cuenta con 262.343 niños, niñas y jóvenes beneficiados por programas y procesos artísticos y culturales.</t>
  </si>
  <si>
    <t xml:space="preserve">A 30 de junio se están llevando a cabo las actividades de implementación en las 6 subregiones PDET programadas para 2022: Alto Patía - Norte del Cauca; Catatumbo; Chocó; Montes de María; Pacífico Frontera Nariñense y Pacífico Medio. Cumpliendo así con la meta establecida para el cuatrienio. 	  </t>
  </si>
  <si>
    <t xml:space="preserve">Con corte al mes de junio, se encuentran constituidas las Escuelas de Puerto Colombia y Puerto Tejada. Adicionalmente, se realizó la firma de constitución de la Escuela Taller de la Guajira, contando con los siguientes socios: MinCultura, Gobernación de la Guajira, Alcaldía Riohacha, Cámara de comercio de la Guajira y la Sociedad ANAKAA FILMS SAS en representación de la red de comunicación Wayuu.		
Contando a la fecha con 15 Escuelas Taller.  	 </t>
  </si>
  <si>
    <t>Con corte al mes de junio, se han creado los Talleres Escuela de Telón de boca con la Escuela Taller de Cali, y de Danzas y expresiones tradicionales con la Escuela Taller de Buenaventura. Las Escuelas Taller de Mompox, Boyacá y Quibdó se encuentran a la espera de la emisión de las de resoluciones, donde se relacionan los Talleres Escuela a desarrollar.</t>
  </si>
  <si>
    <t xml:space="preserve">Con corte a junio se finalizaron y se cuenta con concepto favorable por parte del Consejo Nacional de Patrimonio Cultural los PEMP:
1) Paisaje cultural fortificado de la bahía de Cartagena 
2) Agua de Dios. 
Así mismo, se encuentran en proceso de elaboración los siguientes PEMP: 
1) Cementerio Central de Bogotá. Avance 94%. 
2) Hacienda Piedragrande – Cali. En ajustes finales por parte de la consultoría. Avance 98% 
3)  Campo de Batalla del Pantano de Vargas y Monumento a los Lanceros de Rondón. Avance 62%
4) Centro Histórico de Guaduas. Avance 65%
A la fecha, 65 Bienes de Interés Cultura del ámbito nacional cuentan con Planes Especiales de Manejo y Protección - PEMP en el cuatrienio.	 Cumpliendo así con la meta establecida para el cuatrienio. 	 	 </t>
  </si>
  <si>
    <t xml:space="preserve">Con corte a junio se finalizó una intervención de un Bien de Interés Cultural del Ámbito Nacional: 
1) Restauración del conjunto de 70 vitrales de la Catedral Basílica de Manizales - Caldas.
2)Parque Grancolombiano en Villa del Rosario - Norte de Santander
3) Casa museo Quinta de Bolívar- Bogotá
Así mismo, se encuentran en ejecución las siguientes intervenciones: 
1) Casa Museo Rafael Núñez en ejecución 92%. 
2) Conservación en el cuartel de las Bóvedas y el Baluarte del reducto del castillo San Felipe en Cartagena de Indias en ejecución 72% 
3) Obras de Restauración Edificio Siberia, edificio mantenimiento 0% a la espera de las licencias de construcción
4) Reparaciones locativas casa Marroquí de la hacienda yerbabuena 0% en proceso de elaboración de pliegos
5) Edificio de ampliación de la Escuela Taller de Buenaventura, 92% 
Contando con 74 Bienes de Interés Cultural del ámbito nacional intervenidos en el cuatrienio	 
	 	 		   	</t>
  </si>
  <si>
    <t xml:space="preserve">Con corte 30 de junio del 2022 de la Estrategia Digital se reportó la siguiente información: MaguaRED contó con 32.063 usuarios que accedieron al portal. Maguaré tuvo 93.730 usuarios que accedieron a los contenidos digitales, para un total de 125.793 usuarios que accedieron durante el mes a los portales. Actualmente, se tiene un acumulado de 4.469.601.	</t>
  </si>
  <si>
    <t xml:space="preserve">Con corte a junio, se firmaron 2 agendas creativas en Armenia el 7 de junio de la presente vigencia y en Pereira el 8 de junio de 2022, para un total en la vigencia de 5 agendas creativas. 
A la fecha se han suscrito 17 Agendas Creativas en los siguientes territorios: Antioquia - Medellín, Atlántico - Barranquilla, Bogotá, Bolívar - Cartagena, Caldas - Manizales, Cauca - Popayán, Cesar - Valledupar, Huila - Neiva, Magdalena - Santa Marta, Meta - Villavicencio, Nariño - Pasto, Norte de Santander - Cúcuta, Quindío - Armenia, Risaralda - Pereira, Santander - Bucaramanga, Tolima - Ibagué, y Valle del Cauca - Cali. Cumpliendo así con la meta establecida para el cuatrienio.  </t>
  </si>
  <si>
    <t xml:space="preserve">Con corte al mes de junio, se delimitó el ADN del municipio de Popayán, contando a la fecha con 9 ADN delimitadas en la vigencia actual y un total de 96 ADN en 50 municipios del país delimitadas en el cuatrienio. 
Así mismo, se continúa con la asistencia técnica para la delimitación y activación de las ADN en los territorios, logrando un total de 24 ADN activadas en el país.	 </t>
  </si>
  <si>
    <t xml:space="preserve">Con corte 30 de junio, en el marco del Programa Infancia, Juventud y Medios, se inicio ejecución con la Universidad Autónoma de Occidente del contrato para implementar los diplomados en la regional de la zona pacífica y la modalidad virtual de cubrimiento nacional de las universidades que ejecutaran los diplomados regionales, en los que se espera contar con alrededor de 30 contenidos. También se apoyo la revisión técnica de las propuestas recibidas para las becas del Plan Nacional de Estímulos y la preselección de jurados inscritos en el Banco de jurados: Beca Audiovisual dirigidos a infancias con discapacidad auditiva, Beca Serie audiovisual juvenil para creadores afrocolombianos y Beca Serie audiovisual para audiencias infantiles. De Territorios en Diálogo se ha realizado la revisión técnica de las propuestas recibidas para las 9 Becas de comunicación y territorios del PNE desde donde se reportarán contenidos; así mismo se ha realizado planeación de la estrategia y procesos administrativos para realizar la estrategia Laboratorios Convergentes SOMOS TERRITORIO la cual abrió la convocatoria el pasado 23 de junio buscando convocar a realizadores de contenidos de las regiones de Catatumbo y Magdalena Medio quienes desarrollarán 20 contenidos convergentes. La convocatoria estará abierta hasta el 8 de julio. La estrategia de Narrativas Sonoras apoyó la divulgación de las becas de Estímulos para la producción Franjas de Radios Ciudadanas, Narrativas sonoras de la Colombia rural, Becas para podcast. En la estrategia de Narrativas Audiovisuales se apoyó el proceso de revisión técnica y la selección de jurados con perfiles idóneos para las Becas de Mujeres Creadoras, Becas de Jóvenes Creadores y Becas de Dispositivos Móviles.
A la fecha se han creado 941 contenidos audiovisuales culturales en el cuatrienio.	 </t>
  </si>
  <si>
    <t xml:space="preserve">Con corte a junio de 2022, se ha finalizado 16 adecuaciones y/o dotaciones de infraestructura cultural así: 1 teatro dotado en la Ceja – Antioquia, 1 Casa de cultura construida en Sácama - Casanare y 14 salas de danza en: Milán – Caquetá, Titiribí – Antioquia, Espinal – Tolima, Rio Frio – Valle del Cauca, Cocorná-Antioquia, San Francisco-Antioquia, San Vicente del Caguán – Antioquia, Ibagué -Tolima y Puerres – Nariño, Belén de los Adaquies – Caquetá, Panqueba- Boyacá, Toledo – Norte de Santander, Facatativá - Cundinamarca y Somondoco - Boyacá. 
Así mismo, se adelanta la construcción, mantenimiento, dotación y adecuación de 28 infraestructuras Culturales: 
-Bibliotecas en construcción: 5 en Yuto, Tadó, Kamentza Inga, Roberto Payán y Macanal. 
-Bibliotecas en ejecución en el marco del convenio con la Embajada de Japón: 3 en San Lorenzo - Nariño, Santo Domingo - Antioquia y La Palma - Cundinamarca. 
-Bibliotecas en adecuación: 1 en Buenaventura - Valle del Cauca. 
-Casa de Cultura en construcción: 5 en Cajamarca, Resguardo Yarinal, Tausa, Istmina y Campo hermoso. 
-Casa de Cultura en adecuación: 2 en ejecución Buenaventura - Valle del Cauca y Gomez Plata - Antioquia. 
-Escuela de música en construcción: 1 en Ciudad Bolívar, Antioquia. 
-Teatros en Construcción: 3 en Quibdó-Choco; Támesis – Antioquia y Carmen de Viboral - Antioquia. 
-Teatrino y sede administrativa de complejo Cultural en construcción: 1 en ejecución Buenaventura - Valle del Cauca. 
-Salas de danza en dotación: 7 en ejecución, en el territorio nacional. 
El indicador presenta un avance de 134 infraestructuras construidas, adecuadas y/o dotadas, cumpliendo y sobrepasando la meta establecida para el cuatrienio. 
 </t>
  </si>
  <si>
    <t xml:space="preserve">A junio 30 de 2022, no se han otorgado estímulos, la convocatoria se encuentra en la fase de evaluación y deliveración. 
A la fecha se han otorgado 6.993 estímulos en el cuatrienio, en todo el territorio nacional.	</t>
  </si>
  <si>
    <t xml:space="preserve">A junio de 2022, se han apoyado a través del Programa Nacional de Concertación Cultural 2.724 proyectos artísticos y culturales, así: 
A. 2.662 por convocatoria pública en las líneas de acción: 
L1- Lectura, escritura y oralidad “Leer es mi cuento” 87
L2-Festivales, Fiestas y Carnavales 873 
L3-Fortalecimiento y dinamización de procesos artísticos, patrimoniales y culturales 214 
L4-Programas de formación artística, patrimonial, cultural, presenciales, semipresenciales y/o virtuales 1106
L5-Investigación, fortalecimiento organizacional y circulación para las artes, el patrimonio cultural y la economía naranja 68
L6-Circulación artística a escala nacional 104 
L7-Fortalecimiento cultural a contextos poblacionales específicos 146 
L8-Prácticas culturales de la población con discapacidad 64 
B. 62 proyectos, en: 
Antioquia 2 
Bogotá, D.C. 5; 
Bolívar 4
Caldas 4
Caquetá 1 
Cauca 2 
Cesar 1 
Chocó 6 
Cundinamarca 1
Nariño 2 
Risaralda 1 
Santander 1 
Tolima 2 
Valle del Cauca 30 
Para un total de 2.724 en 2022 y un acumulado de 13.098 en el cuatrienio acumulado en el cuatrienio.	 </t>
  </si>
  <si>
    <t xml:space="preserve">Durante el mes de junio la Estrategia Nacional de Exposiciones Itinerantes estuvo presente en dos ciudades del territorio nacional con exposiciones itinerantes del Museo Nacional de Colombia y los contenidos virtuales de los museos Colonial, Santa Clara, Museo de la Independencia y Quinta de Bolívar. En la ciudad Armenia (Museo MAQUI), se exhibió la exposición Hitos de Libertad, la gente negra desde el museo de todos los colombianos. Por su parte, en Montería, se dio apertura a la exposición 1819, un año significativo en el Centro Cultural del Banco de la República. 
El reporte total de beneficiarios para el mes de junio es de 361 personas. Con lo anterior se cumple la meta establecida para la vigencia, contando a la fecha con 34 exposiciones itinerantes realizadas. 
 </t>
  </si>
  <si>
    <t xml:space="preserve">Con corte a junio, se realizaron los ajustes pertinentes a los documentos de CONPES y PAS de Economía Naranja para aprobación por parte del Grupo CONPES. Se aprobó el Documento CONPES 4090 de 2022 sobre política culturales para incentivar la Economía de la Cultura y Creativa en Colombia.	 </t>
  </si>
  <si>
    <t xml:space="preserve">Con corte a junio, se han realizado los siguientes avances: la medición de la Cuenta Satélite de Cultura y Economía Naranja abarca todos los subsectores de la Economía Naranja desde 2019. En este sentido, la última publicación con resultados de 2020 arrojó el comportamiento de los 14 subsectores de la Economía Naranja y la publicación de la medición del 2021 se hará aproximadamente en el mes de julio de 2022.	 </t>
  </si>
  <si>
    <t xml:space="preserve">Con corte a junio, se realizaron las siguientes acciones: 1. Elaboración de Agendas creativas. i. Un total de 2 Agendas Creativas están listas para surtir la etapa 7 de suscripción: Buenaventura y Cundinamarca. ii. En 2022 se han firmado 5 Agendas Creativas: Cúcuta (26 de enero), Villavicencio (19 de mayo), Neiva (20 de mayo), Armenia (7 de junio) y Pereira (8 de junio). Así mismo se hace el seguimiento a los 184 proyectos inscritos en las 19 agendas creativas, con reporte de recursos movilizados a 30 de junio por un monto de $669.047.621.484. De las 19 agendas en desarrollo, 17 han sido suscritas. 2. Apoyo en implementación de proyectos de agendas 2019 -2021. En el marco de la Oferta Institucional de la Dirección de Estrategia, Desarrollo y Emprendimiento, se siguen los lineamientos 2022 para acompañar el fortalecimiento de las Agendas Creativas territoriales, en materia de formulación, identificación y gestión de fuentes de financiación y seguimiento a proyectos, así como de otros proyectos potenciales de gran impacto para el respectivo territorio. 3. Asistencia técnica y acompañamiento a los 34 Nodos en fortalecimiento institucional y Economía Naranja en los siguientes temas: Se está consolidando en cada territorio, de acuerdo con sus características y requerimientos, los distintos productos ofrecidos por la Dirección de Estrategia, Desarrollo y Emprendimiento para: i. la institucionalidad con: Modelo de Gobernanza – inicio de fase 1, ADNs, Observatorios, Asistencia Técnica y Mapeo; y para ii. los emprendedores con herramientas de: formación, beneficios tributarios, Asistencia Técnica y Modelo de Emprendimiento Cultural. Todo ello, a partir de la articulación de actores de la cuádruple hélice: sociedad civil, sector público, sector privado y academia, que constituyen cada Nodo.	 </t>
  </si>
  <si>
    <t xml:space="preserve">Con corte a junio se realizó la entrega del segundo informe técnico para la realización del segundo desembolso del convenio. Se realizó aprobación del contenido temático de la estrategia de acompañamiento, se realizaron los planes de mercado con cada uno de los colectivos. Se está realizando la formación del MOOC de liderazgo de colectivos y se está realizando gestión con posibles aliados para revisar si se puede desarrollar la rueda de negocios presencial. Beneficio para 25 colectivos de mujeres.	 </t>
  </si>
  <si>
    <t xml:space="preserve">Con corte a junio, se contactaron agentes territoriales de las 4 hélices para acercar la oferta del Curso Colombia Crea Valor y fomentar el uso de la plataforma del Curso logrando, durante la vigencia del mes y con corte a 29 de junio, un registro y usabilidad por parte de 2.410 usuarios, lo que representa un incremento de 985 usuarios del MOOC de Economía Naranja. La estrategia incluyó durante el tiempo de operación llegar a un total de 506 contactados del ecosistema de los territorios (universidades, instituciones públicas, privadas). Adicionalmente, se logró agenciar acuerdos con Ministerio del Interior y SENA para promover el curso entre su público de interés. También, se obtuvo copia de curso sin requerimiento de conexión para territorios con baja conectividad, por lo que durante la vigencia de este informe se proyectó un primer borrador de Licencia de Uso del Material en los casos en los que sea entregado a las instituciones, este documento debe cursar el trámite de observaciones por parte de la oficina de convenios y contratos del Ministerio.	 </t>
  </si>
  <si>
    <t xml:space="preserve">Con corte a junio, se obtuvieron los siguientes avances: 1. DECRETO 286 DE 2020: Se beneficiaron 57 nuevas empresas en el mes y el acumulado se mantiene en 1103 empresas beneficiarias. 2.Durante el mes de junio de 2022, CoCrea reporto 6 proyecto avalados. El acumulado de la convocatoria 2020 y 2021 corresponde a 691 proyectos avalados. 3. Se han expedido un total de 93 CIDS (3 en junio) correspondientes a 54 proyectos de economía creativa con un valor total de aportes de $ 20.494.524.405, un beneficio tributario correspondiente al 165% de $33.815.965.268 y un valor total de los proyectos de $33.815.965.268. 4. CERTIFICADOS DE INVERSIÓN NACIONAL (CINA) – Decreto 474-2020: En 2022 se han aprobado 21 proyectos (5 en junio) con una inversión en Colombia de $379.832.309.031, una contraprestación de $111.389.358.862 y la generación de 2.750 empleos directos. Para junio se tienen 71 y se acumula con lo reportado en el período anterior para un total de 381.	 </t>
  </si>
  <si>
    <t xml:space="preserve">Durante el mes de junio de 2022, la Estrategia Regional realizó una visita de asesoría y acompañamiento técnico a una entidad territorial encaminada a fortalecer funcionamiento de la biblioteca pública municipal. Así mismo se realizó la segunda fase de visitas de acompañamiento y asesoría técnica a las bibliotecas públicas de 24 entidades territoriales, a través de esta visita las entidades territoriales y la biblioteca publica recibieron asesoría para el fortalecimiento de los proyectos bibliotecarios rurales implementados en el marco del PNBI 2022.	 </t>
  </si>
  <si>
    <t xml:space="preserve">A 30 de junio se inaugura el 46 Salón Nacional de Artistas. Hasta el momento se han inaugurado dos exposiciones del componente de circulación, en Neiva y Barrancabermeja. Igualmente diversos laboratorios de formación, talleres de mediación. Por otro lado, desde el componente de difusión del Salón se está desarrollando un programa de publiaciones para circulación en los muncipios de la cuenca del río Magdalena.El salón beneficia los municipios de: Laguna de la Magdalena (Cauca, Huila) San Agustín, Garzón–La Jagua, Neiva (Huila). El Espinal, Ibagué, Ambalema, Mariquita, Honda (Tolima). La Dorada. (Caldas). Puerto Salgar, Girardot (Cundinamarca). Bogotá. Puerto Triunfo, Puerto Berrío (Antioquia). Puerto Boyacá (Boyacá). Barrancabermeja, Puerto Wilches (Santander). Gamarra (Cesar). El Banco, Plato (Magdalena). Mompox (Bolívar). Barranquilla, Suan (Atlántico).	 </t>
  </si>
  <si>
    <t xml:space="preserve">A 30 de junio se ha realizado la divulgación de obras de la siguiente forma: 210 obras artisitcas como resultado de la convocatoria de Comparte lo que Somos en redes sociales y YouTube. 5 Obras a través de medios virtuales 43 obras en Neiva y Barrancabermeja como parte del Salón Nacional de Artistas y de las acciones del área de Artes Visuales. El Salón vincula unos 145 artistas de todo el país y a través de un proceso itinerante, se llega a más de 25 Municipios de 13 departamentos. Mayor información se encuentra en el sitio web: https://artesvisuales.mincultura.gov.co/sna46/	 </t>
  </si>
  <si>
    <t xml:space="preserve">A 30 de junio, se han distribuido 1.462 ejemplares de la colección "Historias de la Historia de Colombia", integrada es esta vigencia por los títulos “Las mujeres de la independencia” escrito por Catalina Navas y “Reminiscencias de Santa Fe de Bogotá” del autor José María Cordovez Moure. Durante la Feria internacional del Libro de Bogotá se llegó a unas 1.100 personas que participaron de las actividades del stand del Ministerio de Cultura. Existen dificultades frente al avance de la meta, toda vez que la imprenta Nacional manifestó que no pudo avanzar con la impresión y distribución de la serie por la crisis de escasez de papel que existe a nivel mundial.	 </t>
  </si>
  <si>
    <t xml:space="preserve">La Dirección de Fomento Regional asesora 1000 municipios, 31 ciudades capitales y 32 departamentos al año para realizar asistencia técnica a la institucionalidad cultural, gestores culturales y consejos de cultura en temas relacionados con planeación, formulación de proyectos, financiación y participación ciudadana. Desde agosto de 2018 hasta el 30 de junio de 2022 se han asesorado 1134 departamentos y municipios para un avance del 100% acumulado (línea base cuatrienio), para poder cumplir con el objetivo propuesto del 2022, se asesoraron 21 municipios nuevos. Hasta el 30 de junio de 2022 se han asesorado y asistido técnicamente 511 municipios del territorio nacional.	 </t>
  </si>
  <si>
    <t xml:space="preserve">A 30 de junio de 2022, 787 municipios y 23 departamentos han girado a Colpensiones la suma de $299.410 millones de pesos, para asignar a 11.545 creadores y gestores culturales los beneficios de anualidad vitalicia (10.565) y financiación de aportes al servicio social complementario de BEPS (980). En 2022 a 30 de junio, 134 municipios y 4 departamentos, han girado a Colpensiones la suma de $31.291 millones de pesos para asignar a 1.046 creadores y gestores culturales los beneficios de anualidad vitalicia (876) y financiación de aportes al servicio social complementario de BEPS (170).	  </t>
  </si>
  <si>
    <t xml:space="preserve">Entre el mes de agosto de 2018 y el mes de junio de 2022 fueron aprobados 174 proyectos ante el Sistema General de Regalías – SGR. El monto total de inversión de estos proyectos asciende a $ 553.368 mil millones de pesos en 27 departamentos: Antioquia, Arauca, Atlántico, Bolívar, Boyacá, Caldas, Caquetá, Casanare, Cauca, Cesar, Chocó, Córdoba, Cundinamarca, Huila, La Guajira, Magdalena, Meta, Nariño, Putumayo, Quindío, Risaralda, San Andrés, Santander, Sucre, Tolima, Valle del Cauca y Vichada. Durante el periodo comprendido entre el mes de agosto de 2018 y diciembre de 2021, se aprobaron 160 proyectos por un valor que asciende a $529.722 mil millones de pesos. De estos, está pendiente por migrar 2 proyectos a la base de datos Gesproy-DNP por un valor de $3.896 millones de pesos. En 2022 han sido aprobados 14 proyectos, en 10 departamentos: Antioquia, Boyacá, Cauca, Caquetá, Cauca, Cundinamarca, Huila, Meta, Valle del Cauca y Vichada por un valor de $ 23.646 millones de pesos.	 </t>
  </si>
  <si>
    <t xml:space="preserve">Durante el mes de Junio se desarrollaron las siguientes actividades. 1. Se consolido el equipo a contratar para el proyecto "Ruta de Oficios tradicionales asociado a las Escuelas taller" y se realizó el proceso de contratación de las 2 administradoras turísticas y los 12 gestores culturales por parte de la Escuela Taller de Barichara. 2. El 28 de junio se dio inicio al proyecto con la primera reunión donde se presentó el equipo de trabajo, los contenidos de capacitaciones y el cronograma del proyecto para los 5 meses. 3. Se realizaron las presentaciones y documentos técnicos, reuniones de trabajo, necesarios para el desarrollo del proyecto.	 </t>
  </si>
  <si>
    <t xml:space="preserve">Con corte a junio se inscribio en la LICBIC el paisaje cultural vichero y el pasisaje cultural fortificado de la bahía de Cartagena. Así mismo, se encuentran en proceso para su inclusión en la LICBIC: 1) Jardín Histórico de la Casa Museo Quinta de Bolívar, Bogotá. 2) Caminos patrimoniales de Santander. 3) Palacio Tayrona o Gobernación de Santa Marta 4) Puente Grande, Bogotá. 5) Parque de La Independencia, Bogotá. 6) Iglesia de San Lázaro, Tunja. 7) Obra del maestro Rogelio Salmona. 8) Arquitectura tradicional palafítica y saberes asociados a la madera. 9) Parque de la Sociedad de Mejoras Públicas de Bucaramanga, Santander. 10) Lugares asociados a la memoria y conciencia en afro Villa del Rosario, Norte de Santander. 11) Construcciones en tabla parada en el municipio de Murillo, Tolima. </t>
  </si>
  <si>
    <t xml:space="preserve">Con corte a junio se sumó a la Lista Representativa del Patrimonio Cultural Inmaterial del ámbito nacional el Plan Especial de Salvaguardia: Trenzado en Caña Flecha, prácticas y conocimientos ancestrales artesanales de la identidad Zenú. </t>
  </si>
  <si>
    <t>Con corte a junio, se realizó gestión con la Escuela Taller Naranja con el fin de fortalecer la unidad de negocio instalada en el Castillo de San felipe de Barajas y en las que se instalarán en la Casa de Bolívar, ambas en la ciudad de Cartagena de Indias para dar continuidad en el acompañamiento al procesos de unidades de negocio. Dando así por cumplido el compromiso del indicador.</t>
  </si>
  <si>
    <t xml:space="preserve">Con corte al mes de junio el Plan decenal de Lenguas Nativas de Colombia se encuentra concertado y protocolizado desde el 18 de diciembre de 2022 en el capítulo indígena y el capitulo de las lenguas criollas desde el 1 de diciembre de 2021. Adicionalmente publicaron 300 ejemplares del documento del Plan Decenal de Lenguas Nativas, que contiene tres capitulos, los cuales son: Capitulo Indígena, Capitulo de lenguas Criollas y capitulo de la Lengua Romanés. Se promulgó la resolución 063 de 2022, que adopta el Plan Decenal de Lenguas Nativas, y se encuentra elaborado el Plan de difusión del Plan Decenal de Lenguas Nativas de Colombia. En cuanto al proceso de sensibilización del Plan, se ha avanzado haciendo entrega de los ejemplares de la publicación a organizaciones indígenas del pueblo inga, los Ministerios de Educación, Instituto Caro y Cuervo, CONCETPI, la alta directiva del Ministerio de Cultura, Ministerio de Educación, Ministerio de las Tics, ICBF; Mesa Regional Amazónica MRA; Autoridades Indígenas de contexto de la ciudad de Cali. Organización Indígena del Pueblo Inga AWAI. Se realizarán 3 pilotos de articulación en el segundo semestre de 2022, Vaupés; Chorrera Amazonas y Caquetá a través de una ruta de articulación y asistencia técnica que se pretende se desarrollé de manera intersectorial.	 </t>
  </si>
  <si>
    <t xml:space="preserve">Con corte al mes de junio, se ha avanzado en el proceso de revisión de 8 propuestas presentadas por las organizaciones, las cuales se desarrollarán, en el marco de la atención a las diferentes órdenes judiciales, las mismas se llevaron con los líderes de manera concertada en atención a las comunidades priorizadas para ejecutar y suscribir los diferentes contratos; esto con la revisión de las propuestas a desarrollar en la vigencia 2022, de igual manera de remitieron correos electrónicos con los parámetros mínimos para desarrollar dentro de la propuesta. Con estas acciones se ha avanzado en un 19% de la meta.	 </t>
  </si>
  <si>
    <t xml:space="preserve">Meta cumplida en 2020, sin embargo, se continúa realizando acciones del programa así: Con corte al mes de junio, se realizó lanzamiento de Biblioteca Mujeres Narran su Territorio, en el marco de la Feria del Libro de Bogotá. 15 mujeres provenientes de Bucaramanga, Cali, buenaventura, San Andrés y Bogotá, hicieron parte del encuentro de narradoras y en los conversatorios que se realizaron en la FILBO. 120 asistentes al lanzamiento de la Biblioteca tuvieron la oportunidad de escuchar de viva voz los relatos de estas mujeres. Se promedia que mas de 400 personas de las visitantes a la FILBO conocieron el programa y los relatos de las mujeres	 </t>
  </si>
  <si>
    <t xml:space="preserve">Con corte 30 de junio, se suscribio el Convenio 0573 de 2022 con Proimágenes Colombia. En el marco del convenio se entregaron 63 maletas en 58 municipios dirigidas a organizaciones indígenas, asociaciones y oficinas de cultura, colectivos sonoros y redes de bibliotecas, establecimientos penitenciarios del INPEC, espacios territoriales de capacitación y reincorporación de la Agencia para la Reincorporación y Normalización - ARN, ANAFE con muestras, festivales y vigías del patrimonio, seccionales de la Universidad de Antioquia, y secretarias departamentales. Se han realizado jornadas de socialización con la Red Nacional de Bibliotecas Públicas, el encuentro de experiencias y usos de la maleta con beneficiarios de la misma donde se realizó el lanzamiento del micrositio de la maleta.	 	</t>
  </si>
  <si>
    <t xml:space="preserve">Con corte a 30 de junio se registraron un total de 347.297 visitas de usuarios a la plataforma (en la presente vigencia) . En su acumulado, hasta diciembre de 2021 Retina Latina logró un total de 4.705.915 visitas que sumadas con las 347.297 visitas acumuladas en 2022 da un total de 5.053.212. En lo corrido de 2022 esta meta registró un avance del 34.94%.	 </t>
  </si>
  <si>
    <t xml:space="preserve">Durante el mes de junio se evidencia que los 7 proyectos plasmados en el tablero de control de la Consejería Presidencial para Asuntos Económicos, y Transformación Digital, se encuentran finalizados satisfactoriamente según el alcance definido y no se ha presentado modificación alguna. Sin embargo, el Portal Publico de Economía tuvo mejoras correspondientes al rediseño del "home" o página de inicio, y fueron modificados los Banner, disminuyendo el número de Módulos en el Portal con lo gran se aumentó el tráfico de visitas al sitio. Así mismo se realizó el ajuste y despliegue en producción para habilitar el módulo de Rentas exentas en el perfil Director CID.	 </t>
  </si>
  <si>
    <t xml:space="preserve">Con corte a 30 de junio de 2022 se hizo la unificación de inventarios documentales como instrumento archivístico que facilita la ubicación, consulta y acceso a la información, el avance de los inventarios se encuentra en AZ Digital. Igualmente se efectuaron inventarios de eliminación documental, tanto de eliminación de documentos de apoyo, como de documentos a eliminar por TRD que se encuentran en el Archivo Central.	 </t>
  </si>
  <si>
    <t xml:space="preserve">Con corte a Junio, con una apropiación de $ 501.917.665.651 para el año 2022, se realizó un 82% de CDPS, el 63% Compromisos, un 33% Obligado y un 32% de pagos, desde el 1 Enero al 30 de Junio del 2022 de acuerdo con lo enviado por las dependencias de su ejecución mensual de esta vigencia.	 </t>
  </si>
  <si>
    <t xml:space="preserve">A junio de 2022 se ha ejecutado el 44% del PIC, correspondiente a un total de 34 actividades desarrolladas de las 78 programadas. En este periodo se llevó a cabo la planeación y desarrollo de las siguientes actividades de capacitación: 1.Prevención de consumo de sustancias psicoactivas. 2. Teams y Outlook (PAES). 3. Identificación de riesgos de gestión y corrupción. 4. Masculinidades Alternativas - violencia de genero. 5. Relaciones Igualitarias. 6. Hablemos de Economía Naranja. 7. Procedimiento contractual sancionatorio. 8. Lavado de manos y técnicas para superar el estrés	 </t>
  </si>
  <si>
    <t xml:space="preserve">En el mes de junio de 2022, el nivel de satisfacción de las actividades realizadas fue el siguiente: Capacitación prevención en el consumo de sustancias psicoactivas 90.8%, capacitación Teams y Outlook 93.2%, capacitación identificación de riesgos de gestión y corrupción 97.4%, capacitación masculinidades alternativas 98%, capacitación relaciones igualitarias 98.4%, charla hablemos de Economía Naranja 99.4%, capacitación proceso contractual sancionatorio 99.8%. Para un promedio total de 96,6%, a la fecha.	  </t>
  </si>
  <si>
    <t xml:space="preserve">Durante el mes de junio se gestionaron recursos de cooperación internacional por valor de $158.496.836, para un acumulado a la fecha de $26.765.867.106, lo que representa un avance del 267,66% frente a la meta establecida para la vigencia 2022.	 </t>
  </si>
  <si>
    <t xml:space="preserve">En el mes de Junio se presentaron los siguientes espectáculos en el escenario principal del Teatro Colón: Concierto Liszt y Bartok, de la orquesta sinfónica Nacional de Colombia, el 3 de junio. Concierto Sheherezade, de la Orquesta Sinfónica Nacional de Colombia, el 9 de junio Concierto del Attaca Quartet con la Orquesta Sinfónica Nacional de Colombia, el 16 de junio. En la Franja Colón Digital se emitió: 'Manú o la ilusión del tiempo' de la Casa del Silencio en Festival Internacional de Artes Performativas de Busean, del 10 al 19 de junio"	 </t>
  </si>
  <si>
    <t xml:space="preserve">A junio 30 de 2022, ya se seleccionaron pero no se ha iniciado el seguimiento a los 533 proyectos que corresponden al 20% de lo 2.662 proyectos apoyados en la convocatoria 2022.	 </t>
  </si>
  <si>
    <t xml:space="preserve">Durante el mes de Junio de 2022, no se otorgaron estímulos en la modalidad de becas a proyectos artísticos y culturales que participaron en el Programa Nacional de Estímulos 2022. El avance cualitativo en lo corrido del cuatrienio, es de 6.993 estímulos otorgados en todo el territorio nacional.		 </t>
  </si>
  <si>
    <t xml:space="preserve">En junio se sostuvieron reuniones con el Fondo Mixto para la Promoción del Deporte, el Desarrollo Integral y la Gestión Social del Valle y el consorcio que ejecuta los contratos para los diseños arquitectónicos y de reforzamiento del edificio de La Licorera, sede del Museo Afro. El trabajo de coordinación requirió un contacto frecuente con diversas instituciones y líderes culturales de los municipios de Tumaco y Barbacoas (Nariño); Villanueva y Monterrey (Casanare); Quibdó, Nóvita y Acandí (Chocó); y Turbo, Chigorodó y Acandí (Antioquia) donde se realizaron grupos focales, talleres y entrevistas en los municipios de Tumaco, Barbacoas, Villanueva, Monterrey, Quibdó, Nóvita, Turbo, Chigorodó y Acandí. Se realizó la convocatoria, revisión de hojas de vida y entrevistas para la selección del museólogo del Proyecto. Se sigue trabajando con representantes de la organización ACDI/VOCA para la concreción de actividades para el Museo Afro en el marco del Programa de Empoderamiento de Pueblos Indígenas y Afro que vincula a la Asociación de Museos Afro de EEUU y se sostuvieron reuniones para explorar trabajo conjunto con el Enlace poblacional del sector cultura, recreación y deporte de la Alcaldía de Bogotá y la Dirección de Programación Cultural de FILBO Bogotá para explorar posibilidades de cooperación. El 14 de junio se reunió el comité técnico del Proyecto.	 </t>
  </si>
  <si>
    <t xml:space="preserve">Durante el mes de junio se arreglo el techo de Fragmentos, se lavaron los tanques de agua de Fragmentos, se hizo mantenimiento a baños publico del Museo Nacional, se hizo mantenimiento a jardines exteriores, interiores y fuentes, se limpiaron techos y destaparón canales, se instalaron y desinatalaron pendones y se mantuvieron las oficinas y salas de exposicion en adecuadas condiciones.	 	 </t>
  </si>
  <si>
    <t xml:space="preserve">A 30 de junio se han ejecutado las actividades previstas en los planes de conservación que componen el SICRE 2022 correspondientes a los meses de Enero a Junio, tanto con las colecciones propias de los museos como con aquellas recibidas en préstamo para exposiciones temporales y permanentes. La implementación del SICRE cubre los distintos espacios que contienen obras de los museos: además de las salas de exposición, se incluyen los espacios donde se guardan las colecciones en reserva, así como el seguimiento de condiciones de aquellas obras entregadas en calidad de préstamo a otras entidades.	  </t>
  </si>
  <si>
    <t>Para el periodo comprendido entre el 01 y el 30 de junio del 2022, por parte del grupo desde asuntos legislativos del despacho, se reportan 97 proyectos de ley 52 al Senado y 45 a la Cámara de Representantes; de los cuales 1 ha sido conceptualizado por el Ministerio de Cultura.</t>
  </si>
  <si>
    <t xml:space="preserve">Para el periodo comprendido entre el 1 y 30 de junio de 2022 el coordinador del grupo de defensa judicial reportó 3 fallos, siendo los 3 favorables en primera instancia a los intereses del Ministerio.	 </t>
  </si>
  <si>
    <t xml:space="preserve">Para el periodo de junio de 2022, no se ha presentado el proyecto de modificación de la ley del sector cultura.	  </t>
  </si>
  <si>
    <t xml:space="preserve">A corte 30 de junio en el marco de la dimensión de gestión del conocimiento y la innovación se realizó el documento preliminar para la identificación y socialización de buenas prácticas y lecciones aprendidas. Adicionalmente de acuerdo a la dimensión gestión con valores para el resultado se realizó la publicación del cronograma de participación ciudadana.	 </t>
  </si>
  <si>
    <t xml:space="preserve">A corte del 30 de junio se realizó la actualización de la declaración de aplicabilidad del Subsistema de Gestión de Seguridad de la Información. Además del bloqueo de IP de comand Control en dispositivos perimetrales y remediación a vulnerabilidades del informe enviado por MINTIC. Desde el SGA se creó la matriz de identificación y valoración de aspectos e impactos ambientales (MIVAIA) del proceso de Fomento y Estímulos. Con este ejercicio, se consolidó y actualizó la matriz ambiental del Ministerio de Cultura, la cual se socializó mediante correo electrónico institucional con los resultados del ejercicio de identificación y valoración de aspectos e impactos ambientales de la entidad. Adicionalmente, se socializó a los directores, administrativos, gestores y monitores de los museos, los temas sobre la estructura del Subsistema de Gestión Ambiental del Ministerio de Cultura y los programas de gestión ambiental para la vigencia 2022. Por otra parte, se realizó sensibilización ambiental mediante la elaboración de la pieza gráfica en conmemoración del "Día Mundial del Ambiente" (05 de junio). Además, se desarrolló el taller de jardinería urbana (23 de junio) en la Biblioteca Nacional de Colombia con el apoyo del Jardín Botánico de Bogotá, en el marco de la conmemoración del Día Mundial del árbol. Desde el SGC se trabajó en la consecución de los insumos para la elaboración del documento Revisión por la Dirección junio 2021-junio 2022.	 </t>
  </si>
  <si>
    <t xml:space="preserve">Con corte a junio la Oficina Asesora de Planeación se encuentra realizando el seguimiento en el SIG II al Plan Estratégico Institucional, para con ello garantizar la integridad de la información, así como el envío de un correo informativo mensual a las dependencias dando a conocer las fechas de corte del sistema para el registro de los avances a los Indicadores del Plan, y la revisión por la Oficina Asesora de Planeación de los mismos mes a mes, que beneficia a todas las dependencia del Ministerio.	 </t>
  </si>
  <si>
    <t xml:space="preserve">Con corte a 30 de junio, se realizó una capacitación de riesgos el pasado 13 de junio, en coordinación con el grupo de Gestión Humana, para los servidores públicos, contratistas y colaboradores del Ministerio de Cultura, de igual manera se realizó se realizó la creación y divulgación interna de piezas gráficas, por medio de correo electrónico de la Política de Transparencia y Acceso a la Información Pública.	 </t>
  </si>
  <si>
    <t xml:space="preserve">Con corte al cierre del mes de junio, aun no se registra avance en la meta de reducción de gasto de austeridad, una vez que el acumulado del cierre del mes es de un total comprometido de $6.262.261.978,74, obligaciones por $1.183.617.027,03 y ordenes de pago por $ 1.119.930.774,71; frente a un total acumulado de compromisos del año 2021 por valor de $ $ 12.361.777.140,28	 </t>
  </si>
  <si>
    <t xml:space="preserve">Con corte a 30 de junio de 2022 se adelantó el 100% de las auditorías internas de calidad y se hicieron reuniones presenciales y virtuales para evaluar la implementación de las políticas de MIPG, de acuerdo con la auditoría combinada al Sistema Integrado de Gestión Institucional y MIPG, así mismo, se dio apertura a las auditorías de Contratos y al Subproceso de Gestión de Audiovisuales, Cine y Medios Interactivos, en donde además se evaluaron los indicadores del Plan Estratégico Institucional del proceso. Finalmente, se enviaron los informes de Austeridad en el Gasto, primer trimestre de 2022 y resultados de la verificación de cumplimiento de obligaciones en el sistema Ekogui, segundo semestre de 2021.	 </t>
  </si>
  <si>
    <t xml:space="preserve">Al cierre de junio: Se han realizado un total acumulado de 23 actividades culturales, teniendo registradas en el mes de junio las siguientes: Conciertos en vivo: Tres (3) conciertos en el Teatro Colón de Bogotá, 3,9 y 16 de 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</si>
</sst>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sz val="8"/>
      <name val="Calibri"/>
      <family val="2"/>
      <scheme val="minor"/>
    </font>
    <font>
      <sz val="13"/>
      <name val="Arial"/>
      <family val="2"/>
    </font>
    <font>
      <sz val="11"/>
      <color theme="0"/>
      <name val="Calibri"/>
      <family val="2"/>
      <scheme val="minor"/>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top style="thin">
        <color auto="1"/>
      </top>
      <bottom style="medium">
        <color indexed="64"/>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225">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9" fontId="11" fillId="0" borderId="1" xfId="2" applyNumberFormat="1" applyFont="1" applyBorder="1" applyAlignment="1">
      <alignment horizontal="center" vertical="center" wrapText="1"/>
    </xf>
    <xf numFmtId="165" fontId="11" fillId="0" borderId="0" xfId="3" applyNumberFormat="1" applyFont="1" applyAlignment="1">
      <alignment vertical="center" wrapText="1"/>
    </xf>
    <xf numFmtId="43" fontId="11" fillId="0" borderId="1" xfId="126" applyFont="1" applyFill="1" applyBorder="1" applyAlignment="1">
      <alignment horizontal="center" vertical="center" wrapText="1"/>
    </xf>
    <xf numFmtId="164" fontId="18" fillId="0" borderId="0" xfId="2" applyFont="1" applyBorder="1" applyAlignment="1">
      <alignment vertical="center" wrapText="1"/>
    </xf>
    <xf numFmtId="164" fontId="11" fillId="0" borderId="7" xfId="2" applyFont="1" applyFill="1" applyBorder="1" applyAlignment="1">
      <alignment horizontal="justify" vertical="center" wrapText="1"/>
    </xf>
    <xf numFmtId="3" fontId="8" fillId="4" borderId="2" xfId="3" applyNumberFormat="1" applyFont="1" applyFill="1" applyBorder="1" applyAlignment="1">
      <alignment horizontal="center" vertical="center" wrapText="1"/>
    </xf>
    <xf numFmtId="3" fontId="8" fillId="4" borderId="3" xfId="3" applyNumberFormat="1" applyFont="1" applyFill="1" applyBorder="1" applyAlignment="1">
      <alignment horizontal="center" vertical="center" wrapText="1"/>
    </xf>
    <xf numFmtId="3" fontId="9" fillId="5" borderId="3" xfId="3" applyNumberFormat="1" applyFont="1" applyFill="1" applyBorder="1" applyAlignment="1">
      <alignment horizontal="center" vertical="center" wrapText="1"/>
    </xf>
    <xf numFmtId="9" fontId="11" fillId="7" borderId="3" xfId="4" applyFont="1" applyFill="1" applyBorder="1" applyAlignment="1">
      <alignment horizontal="center" vertical="center" wrapText="1"/>
    </xf>
    <xf numFmtId="174" fontId="11" fillId="0" borderId="7" xfId="6" applyNumberFormat="1" applyFont="1" applyBorder="1" applyAlignment="1">
      <alignment horizontal="center" vertical="center" wrapText="1"/>
    </xf>
    <xf numFmtId="9" fontId="9" fillId="6" borderId="3" xfId="4" applyFont="1" applyFill="1" applyBorder="1" applyAlignment="1">
      <alignment horizontal="center" vertical="center" wrapText="1"/>
    </xf>
    <xf numFmtId="9" fontId="9" fillId="0" borderId="1" xfId="4" applyFont="1" applyFill="1" applyBorder="1" applyAlignment="1">
      <alignment horizontal="center" vertical="center" wrapText="1"/>
    </xf>
    <xf numFmtId="173" fontId="9" fillId="0" borderId="1" xfId="4" applyNumberFormat="1" applyFont="1" applyFill="1" applyBorder="1" applyAlignment="1">
      <alignment horizontal="center" vertical="center" wrapText="1"/>
    </xf>
    <xf numFmtId="9" fontId="9" fillId="0" borderId="1" xfId="1" applyFont="1" applyBorder="1" applyAlignment="1">
      <alignment horizontal="center" vertical="center" wrapText="1"/>
    </xf>
    <xf numFmtId="9" fontId="9" fillId="0" borderId="7" xfId="4" applyFont="1" applyFill="1" applyBorder="1" applyAlignment="1">
      <alignment horizontal="center" vertical="center" wrapText="1"/>
    </xf>
    <xf numFmtId="164" fontId="11" fillId="0" borderId="1" xfId="4" applyNumberFormat="1" applyFont="1" applyFill="1" applyBorder="1" applyAlignment="1">
      <alignment horizontal="center" vertical="center" wrapText="1"/>
    </xf>
    <xf numFmtId="9" fontId="11" fillId="0" borderId="7" xfId="4" applyFont="1" applyFill="1" applyBorder="1" applyAlignment="1">
      <alignment horizontal="center" vertical="center" wrapText="1"/>
    </xf>
    <xf numFmtId="9" fontId="11" fillId="0" borderId="0" xfId="4" applyFont="1" applyFill="1" applyBorder="1" applyAlignment="1">
      <alignment horizontal="center" vertical="center" wrapText="1"/>
    </xf>
    <xf numFmtId="166" fontId="11" fillId="0" borderId="0" xfId="6" applyFont="1" applyBorder="1" applyAlignment="1">
      <alignment horizontal="center" vertical="center" wrapText="1"/>
    </xf>
    <xf numFmtId="0" fontId="9" fillId="6" borderId="4" xfId="3" applyFont="1" applyFill="1" applyBorder="1" applyAlignment="1">
      <alignment horizontal="center" vertical="center" wrapText="1"/>
    </xf>
    <xf numFmtId="164" fontId="11" fillId="0" borderId="0" xfId="2" applyFont="1" applyFill="1" applyBorder="1" applyAlignment="1">
      <alignment horizontal="center" vertical="center" wrapText="1"/>
    </xf>
    <xf numFmtId="164" fontId="11" fillId="0" borderId="0" xfId="2" applyFont="1" applyFill="1" applyBorder="1" applyAlignment="1">
      <alignment horizontal="left" vertical="center" wrapText="1"/>
    </xf>
    <xf numFmtId="164" fontId="11" fillId="0" borderId="0" xfId="2" applyFont="1" applyFill="1" applyBorder="1" applyAlignment="1">
      <alignment horizontal="justify" vertical="center" wrapText="1"/>
    </xf>
    <xf numFmtId="166" fontId="11" fillId="0" borderId="0" xfId="2" applyNumberFormat="1" applyFont="1" applyFill="1" applyBorder="1" applyAlignment="1">
      <alignment horizontal="center" vertical="center" wrapText="1"/>
    </xf>
    <xf numFmtId="166" fontId="9" fillId="0" borderId="0" xfId="6" applyFont="1" applyFill="1" applyBorder="1" applyAlignment="1">
      <alignment horizontal="center" vertical="center" wrapText="1"/>
    </xf>
    <xf numFmtId="174" fontId="11" fillId="0" borderId="0" xfId="6" applyNumberFormat="1" applyFont="1" applyFill="1" applyBorder="1" applyAlignment="1">
      <alignment horizontal="center" vertical="center" wrapText="1"/>
    </xf>
    <xf numFmtId="174" fontId="11" fillId="0" borderId="0" xfId="6" applyNumberFormat="1" applyFont="1" applyBorder="1" applyAlignment="1">
      <alignment horizontal="center" vertical="center" wrapText="1"/>
    </xf>
    <xf numFmtId="166" fontId="9" fillId="0" borderId="0" xfId="6" applyFont="1" applyBorder="1" applyAlignment="1">
      <alignment horizontal="center" vertical="center" wrapText="1"/>
    </xf>
    <xf numFmtId="9" fontId="9" fillId="0" borderId="0" xfId="1" applyFont="1" applyBorder="1" applyAlignment="1">
      <alignment horizontal="center" vertical="center" wrapText="1"/>
    </xf>
    <xf numFmtId="9" fontId="9" fillId="0" borderId="0" xfId="4" applyFont="1" applyFill="1" applyBorder="1" applyAlignment="1">
      <alignment horizontal="center" vertical="center" wrapText="1"/>
    </xf>
    <xf numFmtId="0" fontId="11" fillId="0" borderId="0" xfId="3" applyFont="1" applyBorder="1" applyAlignment="1">
      <alignment vertical="center" wrapText="1"/>
    </xf>
    <xf numFmtId="164" fontId="11" fillId="0" borderId="11" xfId="3" applyNumberFormat="1" applyFont="1" applyBorder="1" applyAlignment="1">
      <alignment vertical="center" wrapText="1"/>
    </xf>
    <xf numFmtId="165" fontId="11" fillId="0" borderId="11" xfId="3" applyNumberFormat="1" applyFont="1" applyBorder="1" applyAlignment="1">
      <alignment vertical="center" wrapText="1"/>
    </xf>
    <xf numFmtId="164" fontId="11" fillId="0" borderId="1" xfId="3" applyNumberFormat="1" applyFont="1" applyBorder="1" applyAlignment="1">
      <alignment horizontal="center" vertical="center" wrapText="1"/>
    </xf>
    <xf numFmtId="165" fontId="11" fillId="0" borderId="11" xfId="3" applyNumberFormat="1" applyFont="1" applyBorder="1" applyAlignment="1">
      <alignment horizontal="center" vertical="center" wrapText="1"/>
    </xf>
    <xf numFmtId="166" fontId="11" fillId="0" borderId="11" xfId="3" applyNumberFormat="1" applyFont="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0" fontId="11" fillId="0" borderId="1" xfId="3"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left" vertical="center" wrapText="1"/>
    </xf>
    <xf numFmtId="164" fontId="11" fillId="0" borderId="11" xfId="3" applyNumberFormat="1" applyFont="1" applyBorder="1" applyAlignment="1">
      <alignment horizontal="center" vertical="center" wrapText="1"/>
    </xf>
    <xf numFmtId="10" fontId="9" fillId="0" borderId="1" xfId="4" applyNumberFormat="1" applyFont="1" applyFill="1" applyBorder="1" applyAlignment="1">
      <alignment horizontal="center" vertical="center" wrapText="1"/>
    </xf>
    <xf numFmtId="9" fontId="9" fillId="0" borderId="1" xfId="4" applyNumberFormat="1" applyFont="1" applyFill="1" applyBorder="1" applyAlignment="1">
      <alignment horizontal="center" vertical="center" wrapText="1"/>
    </xf>
    <xf numFmtId="1" fontId="11" fillId="0" borderId="11" xfId="3" applyNumberFormat="1" applyFont="1" applyBorder="1" applyAlignment="1">
      <alignment horizontal="center" vertical="center" wrapText="1"/>
    </xf>
    <xf numFmtId="9" fontId="11" fillId="0" borderId="11" xfId="3" applyNumberFormat="1" applyFont="1" applyBorder="1" applyAlignment="1">
      <alignment horizontal="center" vertical="center" wrapText="1"/>
    </xf>
    <xf numFmtId="9" fontId="11" fillId="0" borderId="1" xfId="1" applyFont="1" applyBorder="1" applyAlignment="1">
      <alignment horizontal="center" vertical="center" wrapText="1"/>
    </xf>
    <xf numFmtId="171" fontId="11" fillId="0" borderId="11" xfId="3" applyNumberFormat="1" applyFont="1" applyBorder="1" applyAlignment="1">
      <alignment vertical="center" wrapText="1"/>
    </xf>
    <xf numFmtId="172" fontId="11" fillId="0" borderId="11" xfId="3" applyNumberFormat="1" applyFont="1" applyBorder="1" applyAlignment="1">
      <alignment horizontal="center" vertical="center" wrapText="1"/>
    </xf>
    <xf numFmtId="166" fontId="11" fillId="0" borderId="26" xfId="3" applyNumberFormat="1" applyFont="1" applyBorder="1" applyAlignment="1">
      <alignment horizontal="center" vertical="center" wrapText="1"/>
    </xf>
    <xf numFmtId="168" fontId="11" fillId="0" borderId="11" xfId="3" applyNumberFormat="1" applyFont="1" applyBorder="1" applyAlignment="1">
      <alignment horizontal="center" vertical="center" wrapText="1"/>
    </xf>
    <xf numFmtId="0" fontId="11" fillId="0" borderId="6" xfId="3" applyFont="1" applyFill="1" applyBorder="1" applyAlignment="1">
      <alignment vertical="center" wrapText="1"/>
    </xf>
    <xf numFmtId="3" fontId="11" fillId="0" borderId="11" xfId="3" applyNumberFormat="1" applyFont="1" applyBorder="1" applyAlignment="1">
      <alignment horizontal="center" vertical="center" wrapText="1"/>
    </xf>
    <xf numFmtId="173" fontId="21" fillId="0" borderId="6" xfId="1" applyNumberFormat="1" applyFont="1" applyFill="1" applyBorder="1" applyAlignment="1">
      <alignment horizontal="left" vertical="top" wrapText="1"/>
    </xf>
    <xf numFmtId="0" fontId="9" fillId="0" borderId="11" xfId="3" applyFont="1" applyBorder="1" applyAlignment="1">
      <alignment horizontal="center" vertical="center" wrapText="1"/>
    </xf>
    <xf numFmtId="9" fontId="9" fillId="0" borderId="11" xfId="3" applyNumberFormat="1" applyFont="1" applyBorder="1" applyAlignment="1">
      <alignment horizontal="center" vertical="center" wrapText="1"/>
    </xf>
    <xf numFmtId="166" fontId="9" fillId="0" borderId="11" xfId="3" applyNumberFormat="1" applyFont="1" applyBorder="1" applyAlignment="1">
      <alignment horizontal="center" vertical="center" wrapText="1"/>
    </xf>
    <xf numFmtId="9" fontId="9" fillId="0" borderId="11" xfId="1" applyFont="1" applyBorder="1" applyAlignment="1">
      <alignment horizontal="center" vertical="center" wrapText="1"/>
    </xf>
    <xf numFmtId="0" fontId="9" fillId="0" borderId="1" xfId="3" applyFont="1" applyBorder="1" applyAlignment="1">
      <alignment horizontal="center" vertical="center" wrapText="1"/>
    </xf>
    <xf numFmtId="9" fontId="9" fillId="0" borderId="1" xfId="3" applyNumberFormat="1" applyFont="1" applyBorder="1" applyAlignment="1">
      <alignment horizontal="center" vertical="center" wrapText="1"/>
    </xf>
    <xf numFmtId="166" fontId="9" fillId="0" borderId="1" xfId="3" applyNumberFormat="1" applyFont="1" applyBorder="1" applyAlignment="1">
      <alignment horizontal="center" vertical="center" wrapText="1"/>
    </xf>
    <xf numFmtId="166" fontId="9" fillId="0" borderId="7" xfId="3" applyNumberFormat="1" applyFont="1" applyBorder="1" applyAlignment="1">
      <alignment horizontal="center" vertical="center" wrapText="1"/>
    </xf>
    <xf numFmtId="173" fontId="11" fillId="0" borderId="1" xfId="4" applyNumberFormat="1" applyFont="1" applyFill="1" applyBorder="1" applyAlignment="1">
      <alignment horizontal="center" vertical="center" wrapText="1"/>
    </xf>
    <xf numFmtId="1" fontId="11" fillId="0" borderId="1" xfId="3" applyNumberFormat="1" applyFont="1" applyFill="1" applyBorder="1" applyAlignment="1">
      <alignment horizontal="center" vertical="center" wrapText="1"/>
    </xf>
    <xf numFmtId="166" fontId="11" fillId="0" borderId="7" xfId="6" applyFont="1" applyFill="1" applyBorder="1" applyAlignment="1">
      <alignment horizontal="center" vertical="center" wrapText="1"/>
    </xf>
    <xf numFmtId="9" fontId="11" fillId="0" borderId="7" xfId="1" applyFont="1" applyBorder="1" applyAlignment="1">
      <alignment horizontal="center" vertical="center" wrapText="1"/>
    </xf>
    <xf numFmtId="164" fontId="11" fillId="0" borderId="1" xfId="2" applyFont="1" applyFill="1" applyBorder="1" applyAlignment="1">
      <alignment horizontal="center" vertical="center" wrapText="1"/>
    </xf>
    <xf numFmtId="171" fontId="11" fillId="0" borderId="11" xfId="3" applyNumberFormat="1" applyFont="1" applyBorder="1" applyAlignment="1">
      <alignment horizontal="center" vertical="center" wrapText="1"/>
    </xf>
    <xf numFmtId="164" fontId="22" fillId="0" borderId="0" xfId="2" applyFont="1" applyBorder="1" applyAlignment="1">
      <alignment horizontal="justify" vertical="center"/>
    </xf>
    <xf numFmtId="9" fontId="22" fillId="0" borderId="0" xfId="1" applyFont="1" applyBorder="1" applyAlignment="1">
      <alignment horizontal="center" vertical="center"/>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 xfId="2" applyFont="1" applyFill="1" applyBorder="1" applyAlignment="1">
      <alignment horizontal="center" vertical="center" wrapText="1"/>
    </xf>
    <xf numFmtId="164" fontId="11" fillId="0" borderId="5" xfId="2" applyFont="1" applyFill="1" applyBorder="1" applyAlignment="1">
      <alignment horizontal="center" vertical="center" wrapText="1"/>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7"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2" xfId="2" applyFont="1" applyFill="1" applyBorder="1" applyAlignment="1">
      <alignment horizontal="center" vertical="center" wrapText="1"/>
    </xf>
    <xf numFmtId="164" fontId="11" fillId="0" borderId="3" xfId="2" applyFont="1" applyFill="1" applyBorder="1" applyAlignment="1">
      <alignment horizontal="justify" vertical="center" wrapText="1"/>
    </xf>
    <xf numFmtId="164" fontId="22" fillId="0" borderId="0" xfId="2" applyFont="1" applyBorder="1" applyAlignment="1">
      <alignment horizontal="center" vertical="center"/>
    </xf>
    <xf numFmtId="164" fontId="18" fillId="0" borderId="23" xfId="2" applyFont="1" applyBorder="1" applyAlignment="1">
      <alignment horizontal="center" vertical="center" wrapText="1"/>
    </xf>
    <xf numFmtId="164" fontId="9" fillId="0" borderId="5" xfId="2" applyFont="1" applyFill="1" applyBorder="1" applyAlignment="1">
      <alignment horizontal="center" vertical="center" wrapText="1"/>
    </xf>
    <xf numFmtId="164" fontId="9" fillId="0" borderId="1" xfId="2" applyFont="1" applyFill="1" applyBorder="1" applyAlignment="1">
      <alignment horizontal="center" vertical="center" wrapText="1"/>
    </xf>
    <xf numFmtId="173" fontId="21" fillId="0" borderId="1" xfId="1" applyNumberFormat="1" applyFont="1" applyFill="1" applyBorder="1" applyAlignment="1">
      <alignment horizontal="left" vertical="top" wrapText="1"/>
    </xf>
    <xf numFmtId="165" fontId="11" fillId="0" borderId="6" xfId="3" applyNumberFormat="1" applyFont="1" applyFill="1" applyBorder="1" applyAlignment="1">
      <alignment vertical="center" wrapText="1"/>
    </xf>
    <xf numFmtId="0" fontId="11" fillId="0" borderId="8" xfId="3" applyFont="1" applyFill="1" applyBorder="1" applyAlignment="1">
      <alignment vertical="center" wrapText="1"/>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7">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301880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15"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2">
      <pivotArea outline="0" fieldPosition="0">
        <references count="1">
          <reference field="4294967294" count="1">
            <x v="2"/>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field="13" type="button" dataOnly="0" labelOnly="1" outline="0"/>
    </format>
    <format dxfId="28">
      <pivotArea dataOnly="0" labelOnly="1" outline="0" fieldPosition="0">
        <references count="1">
          <reference field="0" count="1" defaultSubtotal="1">
            <x v="0"/>
          </reference>
        </references>
      </pivotArea>
    </format>
    <format dxfId="27">
      <pivotArea dataOnly="0" labelOnly="1" outline="0" fieldPosition="0">
        <references count="1">
          <reference field="0" count="1" defaultSubtotal="1">
            <x v="1"/>
          </reference>
        </references>
      </pivotArea>
    </format>
    <format dxfId="26">
      <pivotArea dataOnly="0" labelOnly="1" outline="0" fieldPosition="0">
        <references count="1">
          <reference field="0" count="1" defaultSubtotal="1">
            <x v="2"/>
          </reference>
        </references>
      </pivotArea>
    </format>
    <format dxfId="25">
      <pivotArea dataOnly="0" labelOnly="1" outline="0" fieldPosition="0">
        <references count="1">
          <reference field="0" count="1" defaultSubtotal="1">
            <x v="3"/>
          </reference>
        </references>
      </pivotArea>
    </format>
    <format dxfId="24">
      <pivotArea dataOnly="0" labelOnly="1" outline="0" fieldPosition="0">
        <references count="1">
          <reference field="0" count="1" defaultSubtotal="1">
            <x v="4"/>
          </reference>
        </references>
      </pivotArea>
    </format>
    <format dxfId="23">
      <pivotArea dataOnly="0" labelOnly="1" outline="0" fieldPosition="0">
        <references count="1">
          <reference field="0" count="1" defaultSubtotal="1">
            <x v="5"/>
          </reference>
        </references>
      </pivotArea>
    </format>
    <format dxfId="22">
      <pivotArea dataOnly="0" labelOnly="1" outline="0" fieldPosition="0">
        <references count="1">
          <reference field="0" count="1" defaultSubtotal="1">
            <x v="6"/>
          </reference>
        </references>
      </pivotArea>
    </format>
    <format dxfId="21">
      <pivotArea dataOnly="0" labelOnly="1" outline="0" fieldPosition="0">
        <references count="1">
          <reference field="0" count="1" defaultSubtotal="1">
            <x v="7"/>
          </reference>
        </references>
      </pivotArea>
    </format>
    <format dxfId="20">
      <pivotArea dataOnly="0" labelOnly="1" outline="0" fieldPosition="0">
        <references count="1">
          <reference field="0" count="1" defaultSubtotal="1">
            <x v="8"/>
          </reference>
        </references>
      </pivotArea>
    </format>
    <format dxfId="19">
      <pivotArea dataOnly="0" labelOnly="1" outline="0" fieldPosition="0">
        <references count="1">
          <reference field="0" count="1" defaultSubtotal="1">
            <x v="9"/>
          </reference>
        </references>
      </pivotArea>
    </format>
    <format dxfId="18">
      <pivotArea dataOnly="0" labelOnly="1" outline="0" fieldPosition="0">
        <references count="1">
          <reference field="0" count="1" defaultSubtotal="1">
            <x v="10"/>
          </reference>
        </references>
      </pivotArea>
    </format>
    <format dxfId="17">
      <pivotArea dataOnly="0" labelOnly="1" outline="0" fieldPosition="0">
        <references count="1">
          <reference field="0" count="1" defaultSubtotal="1">
            <x v="11"/>
          </reference>
        </references>
      </pivotArea>
    </format>
    <format dxfId="16">
      <pivotArea dataOnly="0" labelOnly="1" outline="0" fieldPosition="0">
        <references count="1">
          <reference field="0" count="1" defaultSubtotal="1">
            <x v="12"/>
          </reference>
        </references>
      </pivotArea>
    </format>
    <format dxfId="15">
      <pivotArea dataOnly="0" labelOnly="1" outline="0" fieldPosition="0">
        <references count="1">
          <reference field="0" count="1" defaultSubtotal="1">
            <x v="13"/>
          </reference>
        </references>
      </pivotArea>
    </format>
    <format dxfId="14">
      <pivotArea dataOnly="0" labelOnly="1" outline="0" fieldPosition="0">
        <references count="1">
          <reference field="0" count="1" defaultSubtotal="1">
            <x v="14"/>
          </reference>
        </references>
      </pivotArea>
    </format>
    <format dxfId="13">
      <pivotArea dataOnly="0" labelOnly="1" outline="0" fieldPosition="0">
        <references count="1">
          <reference field="0" count="1" defaultSubtotal="1">
            <x v="15"/>
          </reference>
        </references>
      </pivotArea>
    </format>
    <format dxfId="12">
      <pivotArea dataOnly="0" labelOnly="1" outline="0" fieldPosition="0">
        <references count="1">
          <reference field="0" count="1" defaultSubtotal="1">
            <x v="16"/>
          </reference>
        </references>
      </pivotArea>
    </format>
    <format dxfId="11">
      <pivotArea dataOnly="0" labelOnly="1" outline="0" fieldPosition="0">
        <references count="1">
          <reference field="0" count="1" defaultSubtotal="1">
            <x v="17"/>
          </reference>
        </references>
      </pivotArea>
    </format>
    <format dxfId="10">
      <pivotArea dataOnly="0" labelOnly="1" outline="0" fieldPosition="0">
        <references count="1">
          <reference field="0" count="1" defaultSubtotal="1">
            <x v="18"/>
          </reference>
        </references>
      </pivotArea>
    </format>
    <format dxfId="9">
      <pivotArea dataOnly="0" labelOnly="1" outline="0" fieldPosition="0">
        <references count="1">
          <reference field="0" count="1" defaultSubtotal="1">
            <x v="19"/>
          </reference>
        </references>
      </pivotArea>
    </format>
    <format dxfId="8">
      <pivotArea dataOnly="0" labelOnly="1" outline="0" fieldPosition="0">
        <references count="1">
          <reference field="0" count="1" defaultSubtotal="1">
            <x v="20"/>
          </reference>
        </references>
      </pivotArea>
    </format>
    <format dxfId="7">
      <pivotArea dataOnly="0" labelOnly="1" outline="0" fieldPosition="0">
        <references count="1">
          <reference field="0" count="1" defaultSubtotal="1">
            <x v="21"/>
          </reference>
        </references>
      </pivotArea>
    </format>
    <format dxfId="6">
      <pivotArea dataOnly="0" labelOnly="1" outline="0" fieldPosition="0">
        <references count="1">
          <reference field="0" count="1" defaultSubtotal="1">
            <x v="22"/>
          </reference>
        </references>
      </pivotArea>
    </format>
    <format dxfId="5">
      <pivotArea dataOnly="0" labelOnly="1" outline="0" fieldPosition="0">
        <references count="1">
          <reference field="0" count="1" defaultSubtotal="1">
            <x v="23"/>
          </reference>
        </references>
      </pivotArea>
    </format>
    <format dxfId="4">
      <pivotArea dataOnly="0" labelOnly="1" outline="0" fieldPosition="0">
        <references count="1">
          <reference field="0" count="1" defaultSubtotal="1">
            <x v="24"/>
          </reference>
        </references>
      </pivotArea>
    </format>
    <format dxfId="3">
      <pivotArea dataOnly="0" labelOnly="1" grandRow="1" outline="0" fieldPosition="0"/>
    </format>
    <format dxfId="2">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6">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5" totalsRowDxfId="44"/>
    <tableColumn id="2" xr3:uid="{C93A7898-037C-4AC5-94D8-F0FC0299BEF5}" uniqueName="2" name="OBJ_DESCRIPCION" queryTableFieldId="68"/>
    <tableColumn id="4" xr3:uid="{C6B57D85-ADF0-4231-9497-AABBF8C56348}" uniqueName="4" name="EST_ID" queryTableFieldId="69" dataDxfId="43"/>
    <tableColumn id="5" xr3:uid="{685B3C29-3BD7-4A97-890C-89D2A54C05D4}" uniqueName="5" name="EST_DESCRIPCION" queryTableFieldId="70"/>
    <tableColumn id="6" xr3:uid="{65AE44FA-B6C0-429F-9D92-C54FC36BA582}" uniqueName="6" name="SIN_ID" queryTableFieldId="71" dataDxfId="42"/>
    <tableColumn id="7" xr3:uid="{720823D9-FFF5-435C-959F-27906350154A}" uniqueName="7" name="SIN_NOMBRE" totalsRowFunction="count" queryTableFieldId="72" totalsRowDxfId="41"/>
    <tableColumn id="8" xr3:uid="{0D2349AF-D84F-442D-B76F-4C75452E9DB2}" uniqueName="8" name="SIP_CANTIDAD" queryTableFieldId="73" dataDxfId="40"/>
    <tableColumn id="9" xr3:uid="{C47F9454-0D4C-4B14-A456-E7BD1C9881F8}" uniqueName="9" name="SIU_NUMBRE" queryTableFieldId="74"/>
    <tableColumn id="10" xr3:uid="{2DCEB573-BAE9-4F25-B753-8788379182A6}" uniqueName="10" name="SIA_CANTIDAD" totalsRowFunction="count" queryTableFieldId="75" dataDxfId="39" totalsRowDxfId="38"/>
    <tableColumn id="11" xr3:uid="{B7ACD2CE-1D68-4034-A146-FC00773E1F6B}" uniqueName="11" name="SIA_OBSERVACIONES" queryTableFieldId="76"/>
    <tableColumn id="12" xr3:uid="{0F0AFBD9-A24C-433C-A8AB-B7EF15C61120}" uniqueName="12" name="SIA_FECHA" queryTableFieldId="77" dataDxfId="37"/>
    <tableColumn id="13" xr3:uid="{61E3E310-7E37-4FE3-B100-0F18F6BCF194}" uniqueName="13" name="% Avance TOTAL" queryTableFieldId="78" dataDxfId="36" totalsRowDxfId="35"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4" totalsRowDxfId="33">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5" x14ac:dyDescent="0.25"/>
  <cols>
    <col min="1" max="1" width="18" bestFit="1" customWidth="1"/>
    <col min="2" max="2" width="11.7109375" bestFit="1" customWidth="1"/>
    <col min="3" max="3" width="21.85546875" bestFit="1" customWidth="1"/>
    <col min="4" max="4" width="11.42578125" bestFit="1" customWidth="1"/>
    <col min="5" max="5" width="21.5703125" bestFit="1" customWidth="1"/>
    <col min="6" max="6" width="11.42578125" bestFit="1" customWidth="1"/>
    <col min="7" max="7" width="17.5703125" bestFit="1" customWidth="1"/>
    <col min="8" max="8" width="18.5703125" bestFit="1" customWidth="1"/>
    <col min="9" max="9" width="17.5703125" bestFit="1" customWidth="1"/>
    <col min="10" max="10" width="18.7109375" bestFit="1" customWidth="1"/>
    <col min="11" max="11" width="24.42578125" bestFit="1" customWidth="1"/>
    <col min="12" max="12" width="15.140625" bestFit="1" customWidth="1"/>
    <col min="13" max="13" width="20" bestFit="1" customWidth="1"/>
    <col min="14" max="14" width="9.42578125" bestFit="1" customWidth="1"/>
    <col min="15" max="15" width="9.42578125" style="1" bestFit="1" customWidth="1"/>
    <col min="17" max="17" width="17" bestFit="1" customWidth="1"/>
    <col min="18" max="19" width="15.7109375" bestFit="1" customWidth="1"/>
  </cols>
  <sheetData>
    <row r="1" spans="1:18" x14ac:dyDescent="0.25">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25">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44763.651470138888</v>
      </c>
    </row>
    <row r="3" spans="1:18" x14ac:dyDescent="0.25">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25">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25">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25">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25">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25">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25">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25">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25">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25">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25">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25">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25">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25">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25">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25">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25">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25">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25">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25">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25">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25">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25">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25">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25">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25">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25">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25">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25">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25">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25">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25">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25">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25">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25">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25">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25">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25">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25">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25">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25">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25">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25">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25">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25">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25">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25">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25">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25">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25">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25">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25">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25">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25">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25">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25">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25">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25">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25">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25">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25">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25">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25">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25">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25">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25">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25">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25">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25">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25">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25">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25">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25">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25">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25">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25">
      <c r="B78" s="1"/>
      <c r="G78" s="1">
        <f>SUBTOTAL(103,Tabla_kronos_MCSIG_PEI[SIN_NOMBRE])</f>
        <v>76</v>
      </c>
      <c r="J78" s="1">
        <f>SUBTOTAL(103,Tabla_kronos_MCSIG_PEI[SIA_CANTIDAD])</f>
        <v>74</v>
      </c>
      <c r="M78" s="10"/>
      <c r="N78" s="1">
        <f>COUNTIF(Tabla_kronos_MCSIG_PEI[PND],"X")</f>
        <v>0</v>
      </c>
      <c r="O78"/>
    </row>
    <row r="79" spans="1:15" x14ac:dyDescent="0.25">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5" x14ac:dyDescent="0.25"/>
  <cols>
    <col min="1" max="1" width="9.42578125" bestFit="1" customWidth="1"/>
    <col min="2" max="2" width="9.140625" bestFit="1" customWidth="1"/>
    <col min="3" max="3" width="9.140625" style="1" bestFit="1" customWidth="1"/>
    <col min="4" max="4" width="60.7109375" style="1" bestFit="1" customWidth="1"/>
    <col min="5" max="6" width="13.7109375" style="1" bestFit="1" customWidth="1"/>
    <col min="7" max="7" width="9.42578125" style="1" bestFit="1" customWidth="1"/>
    <col min="8" max="9" width="13.7109375" bestFit="1" customWidth="1"/>
    <col min="10" max="10" width="22.28515625" bestFit="1" customWidth="1"/>
    <col min="11" max="11" width="27.7109375" bestFit="1" customWidth="1"/>
  </cols>
  <sheetData>
    <row r="1" spans="1:7" x14ac:dyDescent="0.25">
      <c r="A1" s="2" t="s">
        <v>108</v>
      </c>
      <c r="B1" s="2" t="s">
        <v>110</v>
      </c>
      <c r="C1" s="2" t="s">
        <v>112</v>
      </c>
      <c r="D1" s="2" t="s">
        <v>107</v>
      </c>
      <c r="E1" s="1" t="s">
        <v>168</v>
      </c>
      <c r="F1" s="1" t="s">
        <v>169</v>
      </c>
      <c r="G1" s="1" t="s">
        <v>170</v>
      </c>
    </row>
    <row r="2" spans="1:7" x14ac:dyDescent="0.25">
      <c r="A2">
        <v>1</v>
      </c>
      <c r="B2">
        <v>31</v>
      </c>
      <c r="C2">
        <v>221</v>
      </c>
      <c r="D2" t="s">
        <v>1</v>
      </c>
      <c r="E2" s="3">
        <v>0</v>
      </c>
      <c r="F2" s="3">
        <v>0</v>
      </c>
      <c r="G2" s="11" t="e">
        <v>#DIV/0!</v>
      </c>
    </row>
    <row r="3" spans="1:7" x14ac:dyDescent="0.25">
      <c r="C3">
        <v>222</v>
      </c>
      <c r="D3" t="s">
        <v>1</v>
      </c>
      <c r="E3" s="3">
        <v>25</v>
      </c>
      <c r="F3" s="3">
        <v>25</v>
      </c>
      <c r="G3" s="11">
        <v>1</v>
      </c>
    </row>
    <row r="4" spans="1:7" x14ac:dyDescent="0.25">
      <c r="C4">
        <v>304</v>
      </c>
      <c r="D4" t="s">
        <v>3</v>
      </c>
      <c r="E4" s="3">
        <v>3</v>
      </c>
      <c r="F4" s="3">
        <v>3</v>
      </c>
      <c r="G4" s="11">
        <v>1</v>
      </c>
    </row>
    <row r="5" spans="1:7" x14ac:dyDescent="0.25">
      <c r="B5">
        <v>32</v>
      </c>
      <c r="C5">
        <v>223</v>
      </c>
      <c r="D5" t="s">
        <v>5</v>
      </c>
      <c r="E5" s="3">
        <v>0</v>
      </c>
      <c r="F5" s="3">
        <v>0</v>
      </c>
      <c r="G5" s="11" t="e">
        <v>#DIV/0!</v>
      </c>
    </row>
    <row r="6" spans="1:7" x14ac:dyDescent="0.25">
      <c r="C6">
        <v>224</v>
      </c>
      <c r="D6" t="s">
        <v>5</v>
      </c>
      <c r="E6" s="3">
        <v>0</v>
      </c>
      <c r="F6" s="3">
        <v>0</v>
      </c>
      <c r="G6" s="11" t="e">
        <v>#DIV/0!</v>
      </c>
    </row>
    <row r="7" spans="1:7" x14ac:dyDescent="0.25">
      <c r="C7">
        <v>225</v>
      </c>
      <c r="D7" t="s">
        <v>6</v>
      </c>
      <c r="E7" s="3">
        <v>0</v>
      </c>
      <c r="F7" s="3">
        <v>0</v>
      </c>
      <c r="G7" s="11" t="e">
        <v>#DIV/0!</v>
      </c>
    </row>
    <row r="8" spans="1:7" x14ac:dyDescent="0.25">
      <c r="C8">
        <v>226</v>
      </c>
      <c r="D8" t="s">
        <v>124</v>
      </c>
      <c r="E8" s="3">
        <v>25</v>
      </c>
      <c r="F8" s="3">
        <v>35</v>
      </c>
      <c r="G8" s="11">
        <v>1.4</v>
      </c>
    </row>
    <row r="9" spans="1:7" x14ac:dyDescent="0.25">
      <c r="C9">
        <v>227</v>
      </c>
      <c r="D9" t="s">
        <v>3</v>
      </c>
      <c r="E9" s="3">
        <v>1</v>
      </c>
      <c r="F9" s="3">
        <v>1</v>
      </c>
      <c r="G9" s="11">
        <v>1</v>
      </c>
    </row>
    <row r="10" spans="1:7" x14ac:dyDescent="0.25">
      <c r="B10">
        <v>33</v>
      </c>
      <c r="C10">
        <v>228</v>
      </c>
      <c r="D10" t="s">
        <v>3</v>
      </c>
      <c r="E10" s="3">
        <v>1</v>
      </c>
      <c r="F10" s="3">
        <v>4</v>
      </c>
      <c r="G10" s="11">
        <v>4</v>
      </c>
    </row>
    <row r="11" spans="1:7" x14ac:dyDescent="0.25">
      <c r="A11">
        <v>2</v>
      </c>
      <c r="B11">
        <v>47</v>
      </c>
      <c r="C11">
        <v>229</v>
      </c>
      <c r="D11" t="s">
        <v>10</v>
      </c>
      <c r="E11" s="3">
        <v>93</v>
      </c>
      <c r="F11" s="3">
        <v>93</v>
      </c>
      <c r="G11" s="11">
        <v>1</v>
      </c>
    </row>
    <row r="12" spans="1:7" x14ac:dyDescent="0.25">
      <c r="C12">
        <v>230</v>
      </c>
      <c r="D12" t="s">
        <v>10</v>
      </c>
      <c r="E12" s="3">
        <v>1047</v>
      </c>
      <c r="F12" s="3">
        <v>3102</v>
      </c>
      <c r="G12" s="11">
        <v>2.9627507163323781</v>
      </c>
    </row>
    <row r="13" spans="1:7" x14ac:dyDescent="0.25">
      <c r="C13">
        <v>231</v>
      </c>
      <c r="D13" t="s">
        <v>10</v>
      </c>
      <c r="E13" s="3">
        <v>0</v>
      </c>
      <c r="F13" s="3">
        <v>0</v>
      </c>
      <c r="G13" s="11" t="e">
        <v>#DIV/0!</v>
      </c>
    </row>
    <row r="14" spans="1:7" x14ac:dyDescent="0.25">
      <c r="B14">
        <v>48</v>
      </c>
      <c r="C14">
        <v>232</v>
      </c>
      <c r="D14" t="s">
        <v>12</v>
      </c>
      <c r="E14" s="3">
        <v>33</v>
      </c>
      <c r="F14" s="3">
        <v>0</v>
      </c>
      <c r="G14" s="11">
        <v>0</v>
      </c>
    </row>
    <row r="15" spans="1:7" x14ac:dyDescent="0.25">
      <c r="B15">
        <v>49</v>
      </c>
      <c r="C15">
        <v>233</v>
      </c>
      <c r="D15" t="s">
        <v>131</v>
      </c>
      <c r="E15" s="3">
        <v>16</v>
      </c>
      <c r="F15" s="3">
        <v>17</v>
      </c>
      <c r="G15" s="11">
        <v>1.0625</v>
      </c>
    </row>
    <row r="16" spans="1:7" x14ac:dyDescent="0.25">
      <c r="C16">
        <v>234</v>
      </c>
      <c r="D16" t="s">
        <v>131</v>
      </c>
      <c r="E16" s="3">
        <v>8</v>
      </c>
      <c r="F16" s="3">
        <v>10</v>
      </c>
      <c r="G16" s="11">
        <v>1.25</v>
      </c>
    </row>
    <row r="17" spans="1:7" x14ac:dyDescent="0.25">
      <c r="C17">
        <v>289</v>
      </c>
      <c r="D17" t="s">
        <v>12</v>
      </c>
      <c r="E17" s="3">
        <v>1</v>
      </c>
      <c r="F17" s="3">
        <v>0</v>
      </c>
      <c r="G17" s="11">
        <v>0</v>
      </c>
    </row>
    <row r="18" spans="1:7" x14ac:dyDescent="0.25">
      <c r="B18">
        <v>50</v>
      </c>
      <c r="C18">
        <v>235</v>
      </c>
      <c r="D18" t="s">
        <v>3</v>
      </c>
      <c r="E18" s="3">
        <v>3</v>
      </c>
      <c r="F18" s="3">
        <v>7</v>
      </c>
      <c r="G18" s="11">
        <v>2.3333333333333335</v>
      </c>
    </row>
    <row r="19" spans="1:7" x14ac:dyDescent="0.25">
      <c r="C19">
        <v>236</v>
      </c>
      <c r="D19" t="s">
        <v>3</v>
      </c>
      <c r="E19" s="3">
        <v>1</v>
      </c>
      <c r="F19" s="3">
        <v>4</v>
      </c>
      <c r="G19" s="11">
        <v>4</v>
      </c>
    </row>
    <row r="20" spans="1:7" x14ac:dyDescent="0.25">
      <c r="B20">
        <v>51</v>
      </c>
      <c r="C20">
        <v>237</v>
      </c>
      <c r="D20" t="s">
        <v>124</v>
      </c>
      <c r="E20" s="3">
        <v>100</v>
      </c>
      <c r="F20" s="3">
        <v>56</v>
      </c>
      <c r="G20" s="11">
        <v>0.56000000000000005</v>
      </c>
    </row>
    <row r="21" spans="1:7" x14ac:dyDescent="0.25">
      <c r="A21">
        <v>3</v>
      </c>
      <c r="B21">
        <v>52</v>
      </c>
      <c r="C21">
        <v>238</v>
      </c>
      <c r="D21" t="s">
        <v>133</v>
      </c>
      <c r="E21" s="3">
        <v>0</v>
      </c>
      <c r="F21" s="3">
        <v>0</v>
      </c>
      <c r="G21" s="11" t="e">
        <v>#DIV/0!</v>
      </c>
    </row>
    <row r="22" spans="1:7" x14ac:dyDescent="0.25">
      <c r="C22">
        <v>239</v>
      </c>
      <c r="D22" t="s">
        <v>133</v>
      </c>
      <c r="E22" s="3">
        <v>0</v>
      </c>
      <c r="F22" s="3">
        <v>0</v>
      </c>
      <c r="G22" s="11" t="e">
        <v>#DIV/0!</v>
      </c>
    </row>
    <row r="23" spans="1:7" x14ac:dyDescent="0.25">
      <c r="C23">
        <v>240</v>
      </c>
      <c r="D23" t="s">
        <v>133</v>
      </c>
      <c r="E23" s="3">
        <v>2800</v>
      </c>
      <c r="F23" s="3">
        <v>2800</v>
      </c>
      <c r="G23" s="11">
        <v>1</v>
      </c>
    </row>
    <row r="24" spans="1:7" x14ac:dyDescent="0.25">
      <c r="C24">
        <v>241</v>
      </c>
      <c r="D24" t="s">
        <v>6</v>
      </c>
      <c r="E24" s="3">
        <v>750000</v>
      </c>
      <c r="F24" s="3">
        <v>1700038</v>
      </c>
      <c r="G24" s="11">
        <v>2.2667173333333333</v>
      </c>
    </row>
    <row r="25" spans="1:7" x14ac:dyDescent="0.25">
      <c r="C25">
        <v>242</v>
      </c>
      <c r="D25" t="s">
        <v>133</v>
      </c>
      <c r="E25" s="3">
        <v>543</v>
      </c>
      <c r="F25" s="3">
        <v>543</v>
      </c>
      <c r="G25" s="11">
        <v>1</v>
      </c>
    </row>
    <row r="26" spans="1:7" x14ac:dyDescent="0.25">
      <c r="B26">
        <v>53</v>
      </c>
      <c r="C26">
        <v>243</v>
      </c>
      <c r="D26" t="s">
        <v>5</v>
      </c>
      <c r="E26" s="3">
        <v>16</v>
      </c>
      <c r="F26" s="3">
        <v>16</v>
      </c>
      <c r="G26" s="11">
        <v>1</v>
      </c>
    </row>
    <row r="27" spans="1:7" x14ac:dyDescent="0.25">
      <c r="C27">
        <v>244</v>
      </c>
      <c r="D27" t="s">
        <v>6</v>
      </c>
      <c r="E27" s="3">
        <v>4251</v>
      </c>
      <c r="F27" s="3">
        <v>4664</v>
      </c>
      <c r="G27" s="11">
        <v>1.0971536109150788</v>
      </c>
    </row>
    <row r="28" spans="1:7" x14ac:dyDescent="0.25">
      <c r="C28">
        <v>245</v>
      </c>
      <c r="D28" t="s">
        <v>6</v>
      </c>
      <c r="E28" s="3">
        <v>176272</v>
      </c>
      <c r="F28" s="3">
        <v>187566</v>
      </c>
      <c r="G28" s="11">
        <v>1.0640714350549152</v>
      </c>
    </row>
    <row r="29" spans="1:7" x14ac:dyDescent="0.25">
      <c r="C29">
        <v>246</v>
      </c>
      <c r="D29" t="s">
        <v>25</v>
      </c>
      <c r="E29" s="3">
        <v>4</v>
      </c>
      <c r="F29" s="3">
        <v>16</v>
      </c>
      <c r="G29" s="11">
        <v>4</v>
      </c>
    </row>
    <row r="30" spans="1:7" x14ac:dyDescent="0.25">
      <c r="C30">
        <v>247</v>
      </c>
      <c r="D30" t="s">
        <v>26</v>
      </c>
      <c r="E30" s="3">
        <v>10</v>
      </c>
      <c r="F30" s="3">
        <v>10</v>
      </c>
      <c r="G30" s="11">
        <v>1</v>
      </c>
    </row>
    <row r="31" spans="1:7" x14ac:dyDescent="0.25">
      <c r="C31">
        <v>307</v>
      </c>
      <c r="D31" t="s">
        <v>12</v>
      </c>
      <c r="E31" s="3">
        <v>1</v>
      </c>
      <c r="F31" s="3">
        <v>1</v>
      </c>
      <c r="G31" s="11">
        <v>1</v>
      </c>
    </row>
    <row r="32" spans="1:7" x14ac:dyDescent="0.25">
      <c r="B32">
        <v>54</v>
      </c>
      <c r="C32">
        <v>248</v>
      </c>
      <c r="D32" t="s">
        <v>25</v>
      </c>
      <c r="E32" s="3">
        <v>2000000</v>
      </c>
      <c r="F32" s="3">
        <v>2211031</v>
      </c>
      <c r="G32" s="11">
        <v>1.1055155000000001</v>
      </c>
    </row>
    <row r="33" spans="1:7" x14ac:dyDescent="0.25">
      <c r="B33">
        <v>55</v>
      </c>
      <c r="C33">
        <v>249</v>
      </c>
      <c r="D33" t="s">
        <v>26</v>
      </c>
      <c r="E33" s="3">
        <v>250</v>
      </c>
      <c r="F33" s="3">
        <v>256</v>
      </c>
      <c r="G33" s="11">
        <v>1.024</v>
      </c>
    </row>
    <row r="34" spans="1:7" x14ac:dyDescent="0.25">
      <c r="C34">
        <v>250</v>
      </c>
      <c r="D34" t="s">
        <v>32</v>
      </c>
      <c r="E34" s="3">
        <v>80</v>
      </c>
      <c r="F34" s="3">
        <v>104</v>
      </c>
      <c r="G34" s="11">
        <v>1.3</v>
      </c>
    </row>
    <row r="35" spans="1:7" x14ac:dyDescent="0.25">
      <c r="C35">
        <v>251</v>
      </c>
      <c r="D35" t="s">
        <v>87</v>
      </c>
      <c r="E35" s="3">
        <v>230</v>
      </c>
      <c r="F35" s="3">
        <v>263</v>
      </c>
      <c r="G35" s="11">
        <v>1.1434782608695653</v>
      </c>
    </row>
    <row r="36" spans="1:7" x14ac:dyDescent="0.25">
      <c r="A36">
        <v>4</v>
      </c>
      <c r="B36">
        <v>56</v>
      </c>
      <c r="C36">
        <v>252</v>
      </c>
      <c r="D36" t="s">
        <v>3</v>
      </c>
      <c r="E36" s="3">
        <v>3</v>
      </c>
      <c r="F36" s="3">
        <v>2</v>
      </c>
      <c r="G36" s="11">
        <v>0.66666666666666663</v>
      </c>
    </row>
    <row r="37" spans="1:7" x14ac:dyDescent="0.25">
      <c r="B37">
        <v>57</v>
      </c>
      <c r="C37">
        <v>253</v>
      </c>
      <c r="D37" t="s">
        <v>36</v>
      </c>
      <c r="E37" s="3">
        <v>10000000000</v>
      </c>
      <c r="F37" s="3">
        <v>11359904293</v>
      </c>
      <c r="G37" s="11">
        <v>1.1359904293</v>
      </c>
    </row>
    <row r="38" spans="1:7" x14ac:dyDescent="0.25">
      <c r="C38">
        <v>254</v>
      </c>
      <c r="D38" t="s">
        <v>10</v>
      </c>
      <c r="E38" s="3">
        <v>70</v>
      </c>
      <c r="F38" s="3">
        <v>86</v>
      </c>
      <c r="G38" s="11">
        <v>1.2285714285714286</v>
      </c>
    </row>
    <row r="39" spans="1:7" x14ac:dyDescent="0.25">
      <c r="A39">
        <v>5</v>
      </c>
      <c r="B39">
        <v>58</v>
      </c>
      <c r="C39">
        <v>255</v>
      </c>
      <c r="D39" t="s">
        <v>140</v>
      </c>
      <c r="E39" s="3">
        <v>81</v>
      </c>
      <c r="F39" s="3">
        <v>81</v>
      </c>
      <c r="G39" s="11">
        <v>1</v>
      </c>
    </row>
    <row r="40" spans="1:7" x14ac:dyDescent="0.25">
      <c r="C40">
        <v>256</v>
      </c>
      <c r="D40" t="s">
        <v>142</v>
      </c>
      <c r="E40" s="3">
        <v>0</v>
      </c>
      <c r="F40" s="3">
        <v>0</v>
      </c>
      <c r="G40" s="11" t="e">
        <v>#DIV/0!</v>
      </c>
    </row>
    <row r="41" spans="1:7" x14ac:dyDescent="0.25">
      <c r="C41">
        <v>257</v>
      </c>
      <c r="D41" t="s">
        <v>142</v>
      </c>
      <c r="E41" s="3">
        <v>82</v>
      </c>
      <c r="F41" s="3">
        <v>82</v>
      </c>
      <c r="G41" s="11">
        <v>1</v>
      </c>
    </row>
    <row r="42" spans="1:7" x14ac:dyDescent="0.25">
      <c r="C42">
        <v>308</v>
      </c>
      <c r="D42" t="s">
        <v>12</v>
      </c>
      <c r="E42" s="3">
        <v>0</v>
      </c>
      <c r="F42" s="3">
        <v>0</v>
      </c>
      <c r="G42" s="11" t="e">
        <v>#DIV/0!</v>
      </c>
    </row>
    <row r="43" spans="1:7" x14ac:dyDescent="0.25">
      <c r="B43">
        <v>60</v>
      </c>
      <c r="C43">
        <v>259</v>
      </c>
      <c r="D43" t="s">
        <v>6</v>
      </c>
      <c r="E43" s="3">
        <v>1</v>
      </c>
      <c r="F43" s="3">
        <v>1</v>
      </c>
      <c r="G43" s="11">
        <v>1</v>
      </c>
    </row>
    <row r="44" spans="1:7" x14ac:dyDescent="0.25">
      <c r="C44">
        <v>290</v>
      </c>
      <c r="D44" t="s">
        <v>12</v>
      </c>
      <c r="E44" s="3">
        <v>10</v>
      </c>
      <c r="F44" s="3">
        <v>10</v>
      </c>
      <c r="G44" s="11">
        <v>1</v>
      </c>
    </row>
    <row r="45" spans="1:7" x14ac:dyDescent="0.25">
      <c r="C45">
        <v>309</v>
      </c>
      <c r="D45" t="s">
        <v>6</v>
      </c>
      <c r="E45" s="3">
        <v>100</v>
      </c>
      <c r="F45" s="3">
        <v>100</v>
      </c>
      <c r="G45" s="11">
        <v>1</v>
      </c>
    </row>
    <row r="46" spans="1:7" x14ac:dyDescent="0.25">
      <c r="A46">
        <v>6</v>
      </c>
      <c r="B46">
        <v>61</v>
      </c>
      <c r="C46">
        <v>260</v>
      </c>
      <c r="D46" t="s">
        <v>5</v>
      </c>
      <c r="E46" s="3">
        <v>11</v>
      </c>
      <c r="F46" s="3">
        <v>11</v>
      </c>
      <c r="G46" s="11">
        <v>1</v>
      </c>
    </row>
    <row r="47" spans="1:7" x14ac:dyDescent="0.25">
      <c r="C47">
        <v>261</v>
      </c>
      <c r="D47" t="s">
        <v>5</v>
      </c>
      <c r="E47" s="3">
        <v>21</v>
      </c>
      <c r="F47" s="3">
        <v>21</v>
      </c>
      <c r="G47" s="11">
        <v>1</v>
      </c>
    </row>
    <row r="48" spans="1:7" x14ac:dyDescent="0.25">
      <c r="B48">
        <v>62</v>
      </c>
      <c r="C48">
        <v>262</v>
      </c>
      <c r="D48" t="s">
        <v>5</v>
      </c>
      <c r="E48" s="3">
        <v>6</v>
      </c>
      <c r="F48" s="3">
        <v>6</v>
      </c>
      <c r="G48" s="11">
        <v>1</v>
      </c>
    </row>
    <row r="49" spans="1:7" x14ac:dyDescent="0.25">
      <c r="C49">
        <v>263</v>
      </c>
      <c r="D49" t="s">
        <v>5</v>
      </c>
      <c r="E49" s="3">
        <v>1145</v>
      </c>
      <c r="F49" s="3">
        <v>1145</v>
      </c>
      <c r="G49" s="11">
        <v>1</v>
      </c>
    </row>
    <row r="50" spans="1:7" x14ac:dyDescent="0.25">
      <c r="C50">
        <v>264</v>
      </c>
      <c r="D50" t="s">
        <v>6</v>
      </c>
      <c r="E50" s="3">
        <v>2</v>
      </c>
      <c r="F50" s="3">
        <v>2</v>
      </c>
      <c r="G50" s="11">
        <v>1</v>
      </c>
    </row>
    <row r="51" spans="1:7" x14ac:dyDescent="0.25">
      <c r="B51">
        <v>63</v>
      </c>
      <c r="C51">
        <v>265</v>
      </c>
      <c r="D51" t="s">
        <v>5</v>
      </c>
      <c r="E51" s="3">
        <v>55</v>
      </c>
      <c r="F51" s="3">
        <v>55</v>
      </c>
      <c r="G51" s="11">
        <v>1</v>
      </c>
    </row>
    <row r="52" spans="1:7" x14ac:dyDescent="0.25">
      <c r="C52">
        <v>266</v>
      </c>
      <c r="D52" t="s">
        <v>5</v>
      </c>
      <c r="E52" s="3">
        <v>67</v>
      </c>
      <c r="F52" s="3">
        <v>67</v>
      </c>
      <c r="G52" s="11">
        <v>1</v>
      </c>
    </row>
    <row r="53" spans="1:7" x14ac:dyDescent="0.25">
      <c r="B53">
        <v>64</v>
      </c>
      <c r="C53">
        <v>267</v>
      </c>
      <c r="D53" t="s">
        <v>142</v>
      </c>
      <c r="E53" s="3">
        <v>12</v>
      </c>
      <c r="F53" s="3">
        <v>12</v>
      </c>
      <c r="G53" s="11">
        <v>1</v>
      </c>
    </row>
    <row r="54" spans="1:7" x14ac:dyDescent="0.25">
      <c r="B54">
        <v>67</v>
      </c>
      <c r="C54">
        <v>297</v>
      </c>
      <c r="D54" t="s">
        <v>12</v>
      </c>
      <c r="E54" s="3">
        <v>100</v>
      </c>
      <c r="F54" s="3">
        <v>100</v>
      </c>
      <c r="G54" s="11">
        <v>1</v>
      </c>
    </row>
    <row r="55" spans="1:7" x14ac:dyDescent="0.25">
      <c r="C55">
        <v>310</v>
      </c>
      <c r="D55" t="s">
        <v>6</v>
      </c>
      <c r="E55" s="3">
        <v>800000</v>
      </c>
      <c r="F55" s="3">
        <v>800000</v>
      </c>
      <c r="G55" s="11">
        <v>1</v>
      </c>
    </row>
    <row r="56" spans="1:7" x14ac:dyDescent="0.25">
      <c r="A56">
        <v>7</v>
      </c>
      <c r="B56">
        <v>65</v>
      </c>
      <c r="C56">
        <v>268</v>
      </c>
      <c r="D56" t="s">
        <v>148</v>
      </c>
      <c r="E56" s="3">
        <v>4350</v>
      </c>
      <c r="F56" s="3">
        <v>4350</v>
      </c>
      <c r="G56" s="11">
        <v>1</v>
      </c>
    </row>
    <row r="57" spans="1:7" x14ac:dyDescent="0.25">
      <c r="C57">
        <v>269</v>
      </c>
      <c r="D57" t="s">
        <v>148</v>
      </c>
      <c r="E57" s="3">
        <v>20</v>
      </c>
      <c r="F57" s="3">
        <v>20</v>
      </c>
      <c r="G57" s="11">
        <v>1</v>
      </c>
    </row>
    <row r="58" spans="1:7" x14ac:dyDescent="0.25">
      <c r="C58">
        <v>270</v>
      </c>
      <c r="D58" t="s">
        <v>149</v>
      </c>
      <c r="E58" s="3">
        <v>1945</v>
      </c>
      <c r="F58" s="3">
        <v>1801</v>
      </c>
      <c r="G58" s="11">
        <v>0.92596401028277631</v>
      </c>
    </row>
    <row r="59" spans="1:7" x14ac:dyDescent="0.25">
      <c r="C59">
        <v>271</v>
      </c>
      <c r="D59" t="s">
        <v>149</v>
      </c>
      <c r="E59" s="3">
        <v>100</v>
      </c>
      <c r="F59" s="3">
        <v>102</v>
      </c>
      <c r="G59" s="11">
        <v>1.02</v>
      </c>
    </row>
    <row r="60" spans="1:7" x14ac:dyDescent="0.25">
      <c r="B60">
        <v>66</v>
      </c>
      <c r="C60">
        <v>272</v>
      </c>
      <c r="D60" t="s">
        <v>5</v>
      </c>
      <c r="E60" s="3">
        <v>1</v>
      </c>
      <c r="F60" s="3">
        <v>1</v>
      </c>
      <c r="G60" s="11">
        <v>1</v>
      </c>
    </row>
    <row r="61" spans="1:7" x14ac:dyDescent="0.25">
      <c r="C61">
        <v>273</v>
      </c>
      <c r="D61" t="s">
        <v>5</v>
      </c>
      <c r="E61" s="3">
        <v>1</v>
      </c>
      <c r="F61" s="3">
        <v>1</v>
      </c>
      <c r="G61" s="11">
        <v>1</v>
      </c>
    </row>
    <row r="62" spans="1:7" x14ac:dyDescent="0.25">
      <c r="C62">
        <v>274</v>
      </c>
      <c r="D62" t="s">
        <v>3</v>
      </c>
      <c r="E62" s="3">
        <v>60</v>
      </c>
      <c r="F62" s="3">
        <v>60</v>
      </c>
      <c r="G62" s="11">
        <v>1</v>
      </c>
    </row>
    <row r="63" spans="1:7" x14ac:dyDescent="0.25">
      <c r="C63">
        <v>306</v>
      </c>
      <c r="D63" t="s">
        <v>3</v>
      </c>
      <c r="E63" s="3">
        <v>50</v>
      </c>
      <c r="F63" s="3">
        <v>373</v>
      </c>
      <c r="G63" s="11">
        <v>7.46</v>
      </c>
    </row>
    <row r="64" spans="1:7" x14ac:dyDescent="0.25">
      <c r="B64">
        <v>68</v>
      </c>
      <c r="C64">
        <v>275</v>
      </c>
      <c r="D64" t="s">
        <v>133</v>
      </c>
      <c r="E64" s="3">
        <v>150</v>
      </c>
      <c r="F64" s="3">
        <v>150</v>
      </c>
      <c r="G64" s="11">
        <v>1</v>
      </c>
    </row>
    <row r="65" spans="1:7" x14ac:dyDescent="0.25">
      <c r="C65">
        <v>276</v>
      </c>
      <c r="D65" t="s">
        <v>142</v>
      </c>
      <c r="E65" s="3">
        <v>8</v>
      </c>
      <c r="F65" s="3">
        <v>8</v>
      </c>
      <c r="G65" s="11">
        <v>1</v>
      </c>
    </row>
    <row r="66" spans="1:7" x14ac:dyDescent="0.25">
      <c r="A66">
        <v>8</v>
      </c>
      <c r="B66">
        <v>69</v>
      </c>
      <c r="C66">
        <v>277</v>
      </c>
      <c r="D66" t="s">
        <v>157</v>
      </c>
      <c r="E66" s="3">
        <v>90.8</v>
      </c>
      <c r="F66" s="3">
        <v>96</v>
      </c>
      <c r="G66" s="11">
        <v>1.0572687224669604</v>
      </c>
    </row>
    <row r="67" spans="1:7" x14ac:dyDescent="0.25">
      <c r="C67">
        <v>278</v>
      </c>
      <c r="D67" t="s">
        <v>60</v>
      </c>
      <c r="E67" s="3">
        <v>100</v>
      </c>
      <c r="F67" s="3">
        <v>100</v>
      </c>
      <c r="G67" s="11">
        <v>1</v>
      </c>
    </row>
    <row r="68" spans="1:7" x14ac:dyDescent="0.25">
      <c r="C68">
        <v>279</v>
      </c>
      <c r="D68" t="s">
        <v>99</v>
      </c>
      <c r="E68" s="3">
        <v>10</v>
      </c>
      <c r="F68" s="3">
        <v>9</v>
      </c>
      <c r="G68" s="11">
        <v>0.9</v>
      </c>
    </row>
    <row r="69" spans="1:7" x14ac:dyDescent="0.25">
      <c r="B69">
        <v>70</v>
      </c>
      <c r="C69">
        <v>283</v>
      </c>
      <c r="D69" t="s">
        <v>60</v>
      </c>
      <c r="E69" s="3">
        <v>43</v>
      </c>
      <c r="F69" s="3">
        <v>43</v>
      </c>
      <c r="G69" s="11">
        <v>1</v>
      </c>
    </row>
    <row r="70" spans="1:7" x14ac:dyDescent="0.25">
      <c r="B70">
        <v>71</v>
      </c>
      <c r="C70">
        <v>281</v>
      </c>
      <c r="D70" t="s">
        <v>60</v>
      </c>
      <c r="E70" s="3">
        <v>60</v>
      </c>
      <c r="F70" s="3">
        <v>60</v>
      </c>
      <c r="G70" s="11">
        <v>1</v>
      </c>
    </row>
    <row r="71" spans="1:7" x14ac:dyDescent="0.25">
      <c r="B71">
        <v>72</v>
      </c>
      <c r="C71">
        <v>282</v>
      </c>
      <c r="D71" t="s">
        <v>66</v>
      </c>
      <c r="E71" s="3">
        <v>100</v>
      </c>
      <c r="F71" s="3">
        <v>99</v>
      </c>
      <c r="G71" s="11">
        <v>0.99</v>
      </c>
    </row>
    <row r="72" spans="1:7" x14ac:dyDescent="0.25">
      <c r="B72">
        <v>73</v>
      </c>
      <c r="C72">
        <v>280</v>
      </c>
      <c r="D72" t="s">
        <v>60</v>
      </c>
      <c r="E72" s="3">
        <v>100</v>
      </c>
      <c r="F72" s="3">
        <v>100</v>
      </c>
      <c r="G72" s="11">
        <v>1</v>
      </c>
    </row>
    <row r="73" spans="1:7" x14ac:dyDescent="0.25">
      <c r="B73">
        <v>74</v>
      </c>
      <c r="C73">
        <v>284</v>
      </c>
      <c r="D73" t="s">
        <v>155</v>
      </c>
      <c r="E73" s="3">
        <v>90</v>
      </c>
      <c r="F73" s="3">
        <v>94</v>
      </c>
      <c r="G73" s="11">
        <v>1.0444444444444445</v>
      </c>
    </row>
    <row r="74" spans="1:7" x14ac:dyDescent="0.25">
      <c r="C74">
        <v>285</v>
      </c>
      <c r="D74" t="s">
        <v>155</v>
      </c>
      <c r="E74" s="3">
        <v>80</v>
      </c>
      <c r="F74" s="3">
        <v>94</v>
      </c>
      <c r="G74" s="11">
        <v>1.175</v>
      </c>
    </row>
    <row r="75" spans="1:7" x14ac:dyDescent="0.25">
      <c r="B75">
        <v>75</v>
      </c>
      <c r="C75">
        <v>286</v>
      </c>
      <c r="D75" t="s">
        <v>153</v>
      </c>
      <c r="E75" s="3">
        <v>91</v>
      </c>
      <c r="F75" s="3">
        <v>91</v>
      </c>
      <c r="G75" s="11">
        <v>1</v>
      </c>
    </row>
    <row r="76" spans="1:7" x14ac:dyDescent="0.25">
      <c r="B76">
        <v>76</v>
      </c>
      <c r="C76">
        <v>287</v>
      </c>
      <c r="D76" t="s">
        <v>154</v>
      </c>
      <c r="E76" s="3">
        <v>2</v>
      </c>
      <c r="F76" s="3">
        <v>2</v>
      </c>
      <c r="G76" s="11">
        <v>1</v>
      </c>
    </row>
    <row r="77" spans="1:7" x14ac:dyDescent="0.25">
      <c r="B77">
        <v>77</v>
      </c>
      <c r="C77">
        <v>288</v>
      </c>
      <c r="D77" t="s">
        <v>1</v>
      </c>
      <c r="E77" s="3">
        <v>78</v>
      </c>
      <c r="F77" s="3">
        <v>89.66</v>
      </c>
      <c r="G77" s="11">
        <v>1.1494871794871795</v>
      </c>
    </row>
    <row r="78" spans="1:7" x14ac:dyDescent="0.25">
      <c r="A78" s="1" t="s">
        <v>104</v>
      </c>
      <c r="B78" s="1"/>
      <c r="E78" s="3">
        <v>10003745109.799999</v>
      </c>
      <c r="F78" s="3">
        <v>11364824482.66</v>
      </c>
      <c r="G78" s="11">
        <v>1.2884016876277322</v>
      </c>
    </row>
    <row r="79" spans="1:7" x14ac:dyDescent="0.25">
      <c r="C79"/>
      <c r="D79"/>
      <c r="E79"/>
      <c r="F79"/>
      <c r="G79"/>
    </row>
    <row r="80" spans="1:7" x14ac:dyDescent="0.25">
      <c r="C80"/>
      <c r="D80"/>
      <c r="E80"/>
      <c r="F80"/>
      <c r="G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ColWidth="11.42578125" defaultRowHeight="15" outlineLevelCol="1" x14ac:dyDescent="0.2"/>
  <cols>
    <col min="1" max="3" width="11.42578125" style="42" customWidth="1" outlineLevel="1"/>
    <col min="4" max="4" width="6.5703125" style="43" customWidth="1"/>
    <col min="5" max="5" width="27.140625" style="44" customWidth="1"/>
    <col min="6" max="6" width="17.140625" style="44" customWidth="1"/>
    <col min="7" max="7" width="5" style="43" customWidth="1"/>
    <col min="8" max="8" width="39.28515625" style="44" customWidth="1"/>
    <col min="9" max="9" width="5" style="43" customWidth="1"/>
    <col min="10" max="10" width="26.28515625" style="47" customWidth="1"/>
    <col min="11" max="11" width="47.42578125" style="44" customWidth="1"/>
    <col min="12" max="12" width="38.7109375" style="44" customWidth="1"/>
    <col min="13" max="13" width="18.7109375" style="44" customWidth="1"/>
    <col min="14" max="14" width="20.28515625" style="43" customWidth="1"/>
    <col min="15" max="17" width="18.7109375" style="44" customWidth="1"/>
    <col min="18" max="18" width="60.7109375" style="44" hidden="1" customWidth="1" outlineLevel="1"/>
    <col min="19" max="19" width="20.28515625" style="44" customWidth="1" collapsed="1"/>
    <col min="20" max="20" width="18.7109375" style="44" customWidth="1" outlineLevel="1"/>
    <col min="21" max="21" width="60.7109375" style="44" customWidth="1" outlineLevel="1"/>
    <col min="22" max="23" width="18.7109375" style="44" customWidth="1"/>
    <col min="24" max="16384" width="11.42578125" style="42"/>
  </cols>
  <sheetData>
    <row r="1" spans="1:23" s="13" customFormat="1" ht="33" customHeight="1" x14ac:dyDescent="0.25">
      <c r="A1" s="114" t="s">
        <v>372</v>
      </c>
      <c r="D1" s="207"/>
      <c r="E1" s="208"/>
      <c r="F1" s="208"/>
      <c r="G1" s="208"/>
      <c r="H1" s="209"/>
      <c r="I1" s="201" t="s">
        <v>236</v>
      </c>
      <c r="J1" s="201"/>
      <c r="K1" s="201"/>
      <c r="L1" s="201"/>
      <c r="M1" s="201"/>
      <c r="N1" s="201"/>
      <c r="O1" s="201"/>
      <c r="P1" s="201"/>
      <c r="Q1" s="201"/>
      <c r="R1" s="201"/>
      <c r="S1" s="201"/>
      <c r="T1" s="201"/>
      <c r="U1" s="201"/>
      <c r="V1" s="201"/>
      <c r="W1" s="202"/>
    </row>
    <row r="2" spans="1:23" s="14" customFormat="1" ht="33" customHeight="1" x14ac:dyDescent="0.25">
      <c r="D2" s="210"/>
      <c r="E2" s="211"/>
      <c r="F2" s="211"/>
      <c r="G2" s="211"/>
      <c r="H2" s="212"/>
      <c r="I2" s="203"/>
      <c r="J2" s="203"/>
      <c r="K2" s="203"/>
      <c r="L2" s="203"/>
      <c r="M2" s="203"/>
      <c r="N2" s="203"/>
      <c r="O2" s="203"/>
      <c r="P2" s="203"/>
      <c r="Q2" s="203"/>
      <c r="R2" s="203"/>
      <c r="S2" s="203"/>
      <c r="T2" s="203"/>
      <c r="U2" s="203"/>
      <c r="V2" s="203"/>
      <c r="W2" s="204"/>
    </row>
    <row r="3" spans="1:23" s="13" customFormat="1" ht="38.25" customHeight="1" thickBot="1" x14ac:dyDescent="0.3">
      <c r="D3" s="213"/>
      <c r="E3" s="214"/>
      <c r="F3" s="214"/>
      <c r="G3" s="214"/>
      <c r="H3" s="215"/>
      <c r="I3" s="205"/>
      <c r="J3" s="205"/>
      <c r="K3" s="205"/>
      <c r="L3" s="205"/>
      <c r="M3" s="205"/>
      <c r="N3" s="205"/>
      <c r="O3" s="205"/>
      <c r="P3" s="205"/>
      <c r="Q3" s="205"/>
      <c r="R3" s="205"/>
      <c r="S3" s="205"/>
      <c r="T3" s="205"/>
      <c r="U3" s="205"/>
      <c r="V3" s="205"/>
      <c r="W3" s="206"/>
    </row>
    <row r="4" spans="1:23" s="16" customFormat="1" ht="51.75" customHeight="1" thickBot="1" x14ac:dyDescent="0.3">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25">
      <c r="A5" s="17">
        <v>1</v>
      </c>
      <c r="B5" s="17">
        <v>31</v>
      </c>
      <c r="C5" s="74">
        <v>221</v>
      </c>
      <c r="D5" s="216">
        <v>1</v>
      </c>
      <c r="E5" s="200" t="s">
        <v>255</v>
      </c>
      <c r="F5" s="200" t="s">
        <v>256</v>
      </c>
      <c r="G5" s="200">
        <v>1</v>
      </c>
      <c r="H5" s="217" t="s">
        <v>0</v>
      </c>
      <c r="I5" s="200">
        <v>1</v>
      </c>
      <c r="J5" s="200"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25">
      <c r="A6" s="17">
        <v>1</v>
      </c>
      <c r="B6" s="17">
        <v>31</v>
      </c>
      <c r="C6" s="74">
        <v>222</v>
      </c>
      <c r="D6" s="193"/>
      <c r="E6" s="192"/>
      <c r="F6" s="192"/>
      <c r="G6" s="192"/>
      <c r="H6" s="198"/>
      <c r="I6" s="192"/>
      <c r="J6" s="192"/>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25">
      <c r="A7" s="17">
        <v>1</v>
      </c>
      <c r="B7" s="17">
        <v>31</v>
      </c>
      <c r="C7" s="74">
        <v>304</v>
      </c>
      <c r="D7" s="193"/>
      <c r="E7" s="192"/>
      <c r="F7" s="192"/>
      <c r="G7" s="192"/>
      <c r="H7" s="198"/>
      <c r="I7" s="192"/>
      <c r="J7" s="192"/>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25">
      <c r="A8" s="17">
        <v>1</v>
      </c>
      <c r="B8" s="17">
        <v>32</v>
      </c>
      <c r="C8" s="74">
        <v>223</v>
      </c>
      <c r="D8" s="193"/>
      <c r="E8" s="192"/>
      <c r="F8" s="192"/>
      <c r="G8" s="192">
        <v>2</v>
      </c>
      <c r="H8" s="196" t="s">
        <v>262</v>
      </c>
      <c r="I8" s="192">
        <v>2</v>
      </c>
      <c r="J8" s="192"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25">
      <c r="A9" s="17">
        <v>1</v>
      </c>
      <c r="B9" s="17">
        <v>32</v>
      </c>
      <c r="C9" s="74">
        <v>224</v>
      </c>
      <c r="D9" s="193"/>
      <c r="E9" s="192"/>
      <c r="F9" s="192"/>
      <c r="G9" s="192"/>
      <c r="H9" s="196"/>
      <c r="I9" s="192"/>
      <c r="J9" s="192"/>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25">
      <c r="A10" s="17">
        <v>1</v>
      </c>
      <c r="B10" s="17">
        <v>32</v>
      </c>
      <c r="C10" s="74">
        <v>226</v>
      </c>
      <c r="D10" s="193"/>
      <c r="E10" s="192"/>
      <c r="F10" s="192"/>
      <c r="G10" s="192"/>
      <c r="H10" s="196"/>
      <c r="I10" s="192"/>
      <c r="J10" s="192"/>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25">
      <c r="A11" s="17">
        <v>1</v>
      </c>
      <c r="B11" s="17">
        <v>32</v>
      </c>
      <c r="C11" s="74">
        <v>227</v>
      </c>
      <c r="D11" s="193"/>
      <c r="E11" s="192"/>
      <c r="F11" s="192"/>
      <c r="G11" s="192"/>
      <c r="H11" s="196"/>
      <c r="I11" s="192"/>
      <c r="J11" s="192"/>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25">
      <c r="A12" s="17">
        <v>1</v>
      </c>
      <c r="B12" s="17">
        <v>33</v>
      </c>
      <c r="C12" s="74">
        <v>228</v>
      </c>
      <c r="D12" s="193"/>
      <c r="E12" s="192"/>
      <c r="F12" s="192"/>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25">
      <c r="A13" s="17">
        <v>2</v>
      </c>
      <c r="B13" s="17">
        <v>47</v>
      </c>
      <c r="C13" s="74">
        <v>229</v>
      </c>
      <c r="D13" s="193">
        <v>2</v>
      </c>
      <c r="E13" s="192" t="s">
        <v>270</v>
      </c>
      <c r="F13" s="192" t="s">
        <v>271</v>
      </c>
      <c r="G13" s="192">
        <v>1</v>
      </c>
      <c r="H13" s="198" t="s">
        <v>272</v>
      </c>
      <c r="I13" s="192">
        <v>1</v>
      </c>
      <c r="J13" s="192"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25">
      <c r="A14" s="17">
        <v>2</v>
      </c>
      <c r="B14" s="17">
        <v>47</v>
      </c>
      <c r="C14" s="74">
        <v>230</v>
      </c>
      <c r="D14" s="193"/>
      <c r="E14" s="192"/>
      <c r="F14" s="192"/>
      <c r="G14" s="192"/>
      <c r="H14" s="198"/>
      <c r="I14" s="192"/>
      <c r="J14" s="192"/>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25">
      <c r="A15" s="17">
        <v>2</v>
      </c>
      <c r="B15" s="17">
        <v>47</v>
      </c>
      <c r="C15" s="74">
        <v>231</v>
      </c>
      <c r="D15" s="193"/>
      <c r="E15" s="192"/>
      <c r="F15" s="192"/>
      <c r="G15" s="192"/>
      <c r="H15" s="198"/>
      <c r="I15" s="192"/>
      <c r="J15" s="192"/>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25">
      <c r="A16" s="17">
        <v>2</v>
      </c>
      <c r="B16" s="17">
        <v>49</v>
      </c>
      <c r="C16" s="74">
        <v>233</v>
      </c>
      <c r="D16" s="193"/>
      <c r="E16" s="192"/>
      <c r="F16" s="192"/>
      <c r="G16" s="192">
        <v>3</v>
      </c>
      <c r="H16" s="196" t="s">
        <v>275</v>
      </c>
      <c r="I16" s="192">
        <v>3</v>
      </c>
      <c r="J16" s="192"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25">
      <c r="A17" s="17">
        <v>2</v>
      </c>
      <c r="B17" s="17">
        <v>49</v>
      </c>
      <c r="C17" s="74">
        <v>234</v>
      </c>
      <c r="D17" s="193"/>
      <c r="E17" s="192"/>
      <c r="F17" s="192"/>
      <c r="G17" s="192"/>
      <c r="H17" s="196"/>
      <c r="I17" s="192"/>
      <c r="J17" s="192"/>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25">
      <c r="A18" s="17">
        <v>2</v>
      </c>
      <c r="B18" s="17">
        <v>49</v>
      </c>
      <c r="C18" s="74">
        <v>289</v>
      </c>
      <c r="D18" s="193"/>
      <c r="E18" s="192"/>
      <c r="F18" s="192"/>
      <c r="G18" s="192"/>
      <c r="H18" s="196"/>
      <c r="I18" s="192"/>
      <c r="J18" s="192"/>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25">
      <c r="A19" s="17">
        <v>2</v>
      </c>
      <c r="B19" s="17">
        <v>50</v>
      </c>
      <c r="C19" s="74">
        <v>235</v>
      </c>
      <c r="D19" s="193"/>
      <c r="E19" s="192"/>
      <c r="F19" s="192"/>
      <c r="G19" s="192">
        <v>4</v>
      </c>
      <c r="H19" s="198" t="s">
        <v>280</v>
      </c>
      <c r="I19" s="192">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25">
      <c r="A20" s="17">
        <v>2</v>
      </c>
      <c r="B20" s="17">
        <v>50</v>
      </c>
      <c r="C20" s="74">
        <v>236</v>
      </c>
      <c r="D20" s="193"/>
      <c r="E20" s="192"/>
      <c r="F20" s="192"/>
      <c r="G20" s="192"/>
      <c r="H20" s="198"/>
      <c r="I20" s="192"/>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25">
      <c r="A21" s="17">
        <v>2</v>
      </c>
      <c r="B21" s="17">
        <v>51</v>
      </c>
      <c r="C21" s="74">
        <v>237</v>
      </c>
      <c r="D21" s="193"/>
      <c r="E21" s="192"/>
      <c r="F21" s="192"/>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25">
      <c r="A22" s="17">
        <v>3</v>
      </c>
      <c r="B22" s="17">
        <v>52</v>
      </c>
      <c r="C22" s="74">
        <v>238</v>
      </c>
      <c r="D22" s="193">
        <v>3</v>
      </c>
      <c r="E22" s="192" t="s">
        <v>19</v>
      </c>
      <c r="F22" s="192" t="s">
        <v>256</v>
      </c>
      <c r="G22" s="192">
        <v>1</v>
      </c>
      <c r="H22" s="198" t="s">
        <v>284</v>
      </c>
      <c r="I22" s="192">
        <v>1</v>
      </c>
      <c r="J22" s="192"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25">
      <c r="A23" s="17">
        <v>3</v>
      </c>
      <c r="B23" s="17">
        <v>52</v>
      </c>
      <c r="C23" s="74">
        <v>239</v>
      </c>
      <c r="D23" s="193"/>
      <c r="E23" s="192"/>
      <c r="F23" s="192"/>
      <c r="G23" s="192"/>
      <c r="H23" s="198"/>
      <c r="I23" s="192"/>
      <c r="J23" s="192"/>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25">
      <c r="A24" s="17">
        <v>3</v>
      </c>
      <c r="B24" s="17">
        <v>52</v>
      </c>
      <c r="C24" s="74">
        <v>240</v>
      </c>
      <c r="D24" s="193"/>
      <c r="E24" s="192"/>
      <c r="F24" s="192"/>
      <c r="G24" s="192"/>
      <c r="H24" s="198"/>
      <c r="I24" s="192"/>
      <c r="J24" s="192"/>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25">
      <c r="A25" s="17">
        <v>3</v>
      </c>
      <c r="B25" s="17">
        <v>52</v>
      </c>
      <c r="C25" s="74">
        <v>241</v>
      </c>
      <c r="D25" s="193"/>
      <c r="E25" s="192"/>
      <c r="F25" s="192"/>
      <c r="G25" s="192"/>
      <c r="H25" s="198"/>
      <c r="I25" s="192"/>
      <c r="J25" s="192"/>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25">
      <c r="A26" s="17">
        <v>3</v>
      </c>
      <c r="B26" s="17">
        <v>52</v>
      </c>
      <c r="C26" s="74">
        <v>242</v>
      </c>
      <c r="D26" s="193"/>
      <c r="E26" s="192"/>
      <c r="F26" s="192"/>
      <c r="G26" s="192"/>
      <c r="H26" s="198"/>
      <c r="I26" s="192"/>
      <c r="J26" s="192"/>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25">
      <c r="A27" s="17">
        <v>3</v>
      </c>
      <c r="B27" s="17">
        <v>53</v>
      </c>
      <c r="C27" s="74">
        <v>243</v>
      </c>
      <c r="D27" s="193"/>
      <c r="E27" s="192"/>
      <c r="F27" s="192"/>
      <c r="G27" s="192">
        <v>2</v>
      </c>
      <c r="H27" s="196" t="s">
        <v>23</v>
      </c>
      <c r="I27" s="192">
        <v>2</v>
      </c>
      <c r="J27" s="192"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25">
      <c r="A28" s="17">
        <v>3</v>
      </c>
      <c r="B28" s="17">
        <v>53</v>
      </c>
      <c r="C28" s="74">
        <v>244</v>
      </c>
      <c r="D28" s="193"/>
      <c r="E28" s="192"/>
      <c r="F28" s="192"/>
      <c r="G28" s="192"/>
      <c r="H28" s="196"/>
      <c r="I28" s="192"/>
      <c r="J28" s="192"/>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25">
      <c r="A29" s="17">
        <v>3</v>
      </c>
      <c r="B29" s="17">
        <v>53</v>
      </c>
      <c r="C29" s="74">
        <v>245</v>
      </c>
      <c r="D29" s="193"/>
      <c r="E29" s="192"/>
      <c r="F29" s="192"/>
      <c r="G29" s="192"/>
      <c r="H29" s="196"/>
      <c r="I29" s="192"/>
      <c r="J29" s="192"/>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25">
      <c r="A30" s="17">
        <v>3</v>
      </c>
      <c r="B30" s="17">
        <v>53</v>
      </c>
      <c r="C30" s="74">
        <v>246</v>
      </c>
      <c r="D30" s="193"/>
      <c r="E30" s="192"/>
      <c r="F30" s="192"/>
      <c r="G30" s="192"/>
      <c r="H30" s="196"/>
      <c r="I30" s="192"/>
      <c r="J30" s="192"/>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25">
      <c r="A31" s="17">
        <v>3</v>
      </c>
      <c r="B31" s="17">
        <v>53</v>
      </c>
      <c r="C31" s="74">
        <v>247</v>
      </c>
      <c r="D31" s="193"/>
      <c r="E31" s="192"/>
      <c r="F31" s="192"/>
      <c r="G31" s="192"/>
      <c r="H31" s="196"/>
      <c r="I31" s="192"/>
      <c r="J31" s="192"/>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25">
      <c r="A32" s="17">
        <v>3</v>
      </c>
      <c r="B32" s="17">
        <v>53</v>
      </c>
      <c r="C32" s="74">
        <v>307</v>
      </c>
      <c r="D32" s="193"/>
      <c r="E32" s="192"/>
      <c r="F32" s="192"/>
      <c r="G32" s="192"/>
      <c r="H32" s="196"/>
      <c r="I32" s="192"/>
      <c r="J32" s="192"/>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25">
      <c r="A33" s="17">
        <v>3</v>
      </c>
      <c r="B33" s="17">
        <v>54</v>
      </c>
      <c r="C33" s="74">
        <v>248</v>
      </c>
      <c r="D33" s="193"/>
      <c r="E33" s="192"/>
      <c r="F33" s="192"/>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25">
      <c r="A34" s="17">
        <v>3</v>
      </c>
      <c r="B34" s="17">
        <v>55</v>
      </c>
      <c r="C34" s="74">
        <v>249</v>
      </c>
      <c r="D34" s="193"/>
      <c r="E34" s="192"/>
      <c r="F34" s="192"/>
      <c r="G34" s="192">
        <v>4</v>
      </c>
      <c r="H34" s="198" t="s">
        <v>31</v>
      </c>
      <c r="I34" s="192">
        <v>4</v>
      </c>
      <c r="J34" s="192"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25">
      <c r="A35" s="17">
        <v>3</v>
      </c>
      <c r="B35" s="17">
        <v>55</v>
      </c>
      <c r="C35" s="74">
        <v>250</v>
      </c>
      <c r="D35" s="193"/>
      <c r="E35" s="192"/>
      <c r="F35" s="192"/>
      <c r="G35" s="192"/>
      <c r="H35" s="198"/>
      <c r="I35" s="192"/>
      <c r="J35" s="192"/>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25">
      <c r="A36" s="17">
        <v>3</v>
      </c>
      <c r="B36" s="17">
        <v>55</v>
      </c>
      <c r="C36" s="74">
        <v>251</v>
      </c>
      <c r="D36" s="193"/>
      <c r="E36" s="192"/>
      <c r="F36" s="192"/>
      <c r="G36" s="192"/>
      <c r="H36" s="198"/>
      <c r="I36" s="192"/>
      <c r="J36" s="192"/>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25">
      <c r="A37" s="17">
        <v>4</v>
      </c>
      <c r="B37" s="17">
        <v>56</v>
      </c>
      <c r="C37" s="74">
        <v>252</v>
      </c>
      <c r="D37" s="193">
        <v>4</v>
      </c>
      <c r="E37" s="192" t="s">
        <v>34</v>
      </c>
      <c r="F37" s="192"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25">
      <c r="A38" s="17">
        <v>4</v>
      </c>
      <c r="B38" s="17">
        <v>57</v>
      </c>
      <c r="C38" s="74">
        <v>253</v>
      </c>
      <c r="D38" s="193"/>
      <c r="E38" s="192"/>
      <c r="F38" s="192"/>
      <c r="G38" s="192">
        <v>2</v>
      </c>
      <c r="H38" s="198" t="s">
        <v>308</v>
      </c>
      <c r="I38" s="192">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25">
      <c r="A39" s="17">
        <v>4</v>
      </c>
      <c r="B39" s="17">
        <v>57</v>
      </c>
      <c r="C39" s="74">
        <v>254</v>
      </c>
      <c r="D39" s="193"/>
      <c r="E39" s="192"/>
      <c r="F39" s="192"/>
      <c r="G39" s="192"/>
      <c r="H39" s="198"/>
      <c r="I39" s="192"/>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25">
      <c r="A40" s="17">
        <v>5</v>
      </c>
      <c r="B40" s="17">
        <v>58</v>
      </c>
      <c r="C40" s="74">
        <v>255</v>
      </c>
      <c r="D40" s="193">
        <v>5</v>
      </c>
      <c r="E40" s="192" t="s">
        <v>38</v>
      </c>
      <c r="F40" s="192" t="s">
        <v>256</v>
      </c>
      <c r="G40" s="192">
        <v>1</v>
      </c>
      <c r="H40" s="198" t="s">
        <v>39</v>
      </c>
      <c r="I40" s="192">
        <v>1</v>
      </c>
      <c r="J40" s="192"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25">
      <c r="A41" s="17">
        <v>5</v>
      </c>
      <c r="B41" s="17">
        <v>58</v>
      </c>
      <c r="C41" s="74">
        <v>256</v>
      </c>
      <c r="D41" s="193"/>
      <c r="E41" s="192"/>
      <c r="F41" s="192"/>
      <c r="G41" s="192"/>
      <c r="H41" s="198"/>
      <c r="I41" s="192"/>
      <c r="J41" s="192"/>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25">
      <c r="A42" s="17">
        <v>5</v>
      </c>
      <c r="B42" s="17">
        <v>58</v>
      </c>
      <c r="C42" s="74">
        <v>257</v>
      </c>
      <c r="D42" s="193"/>
      <c r="E42" s="192"/>
      <c r="F42" s="192"/>
      <c r="G42" s="192"/>
      <c r="H42" s="198"/>
      <c r="I42" s="192"/>
      <c r="J42" s="192"/>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25">
      <c r="A43" s="17">
        <v>5</v>
      </c>
      <c r="B43" s="17">
        <v>60</v>
      </c>
      <c r="C43" s="74">
        <v>259</v>
      </c>
      <c r="D43" s="193"/>
      <c r="E43" s="192"/>
      <c r="F43" s="192"/>
      <c r="G43" s="192">
        <v>2</v>
      </c>
      <c r="H43" s="196" t="s">
        <v>318</v>
      </c>
      <c r="I43" s="192">
        <v>2</v>
      </c>
      <c r="J43" s="192"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25">
      <c r="A44" s="17">
        <v>5</v>
      </c>
      <c r="B44" s="17">
        <v>60</v>
      </c>
      <c r="C44" s="74">
        <v>290</v>
      </c>
      <c r="D44" s="193"/>
      <c r="E44" s="192"/>
      <c r="F44" s="192"/>
      <c r="G44" s="192"/>
      <c r="H44" s="196"/>
      <c r="I44" s="192"/>
      <c r="J44" s="192"/>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25">
      <c r="A45" s="17">
        <v>5</v>
      </c>
      <c r="B45" s="17">
        <v>60</v>
      </c>
      <c r="C45" s="74">
        <v>309</v>
      </c>
      <c r="D45" s="193"/>
      <c r="E45" s="192"/>
      <c r="F45" s="192"/>
      <c r="G45" s="192"/>
      <c r="H45" s="196"/>
      <c r="I45" s="192"/>
      <c r="J45" s="192"/>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25">
      <c r="A46" s="17">
        <v>6</v>
      </c>
      <c r="B46" s="17">
        <v>61</v>
      </c>
      <c r="C46" s="74">
        <v>260</v>
      </c>
      <c r="D46" s="193">
        <v>6</v>
      </c>
      <c r="E46" s="192" t="s">
        <v>323</v>
      </c>
      <c r="F46" s="192" t="s">
        <v>294</v>
      </c>
      <c r="G46" s="192">
        <v>1</v>
      </c>
      <c r="H46" s="198" t="s">
        <v>44</v>
      </c>
      <c r="I46" s="192">
        <v>1</v>
      </c>
      <c r="J46" s="192" t="s">
        <v>294</v>
      </c>
      <c r="K46" s="69" t="s">
        <v>45</v>
      </c>
      <c r="L46" s="192"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25">
      <c r="A47" s="17">
        <v>6</v>
      </c>
      <c r="B47" s="17">
        <v>61</v>
      </c>
      <c r="C47" s="74">
        <v>261</v>
      </c>
      <c r="D47" s="193"/>
      <c r="E47" s="192"/>
      <c r="F47" s="192"/>
      <c r="G47" s="192"/>
      <c r="H47" s="198"/>
      <c r="I47" s="192"/>
      <c r="J47" s="192"/>
      <c r="K47" s="69" t="s">
        <v>46</v>
      </c>
      <c r="L47" s="192"/>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25">
      <c r="A48" s="17">
        <v>6</v>
      </c>
      <c r="B48" s="17">
        <v>62</v>
      </c>
      <c r="C48" s="74">
        <v>262</v>
      </c>
      <c r="D48" s="193"/>
      <c r="E48" s="192"/>
      <c r="F48" s="192"/>
      <c r="G48" s="192">
        <v>2</v>
      </c>
      <c r="H48" s="198" t="s">
        <v>47</v>
      </c>
      <c r="I48" s="192">
        <v>2</v>
      </c>
      <c r="J48" s="192" t="s">
        <v>324</v>
      </c>
      <c r="K48" s="69" t="s">
        <v>325</v>
      </c>
      <c r="L48" s="192"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25">
      <c r="A49" s="17">
        <v>6</v>
      </c>
      <c r="B49" s="17">
        <v>62</v>
      </c>
      <c r="C49" s="74">
        <v>263</v>
      </c>
      <c r="D49" s="193"/>
      <c r="E49" s="192"/>
      <c r="F49" s="192"/>
      <c r="G49" s="192"/>
      <c r="H49" s="198"/>
      <c r="I49" s="192"/>
      <c r="J49" s="192"/>
      <c r="K49" s="69" t="s">
        <v>48</v>
      </c>
      <c r="L49" s="192"/>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25">
      <c r="A50" s="17">
        <v>6</v>
      </c>
      <c r="B50" s="17">
        <v>62</v>
      </c>
      <c r="C50" s="74">
        <v>264</v>
      </c>
      <c r="D50" s="193"/>
      <c r="E50" s="192"/>
      <c r="F50" s="192"/>
      <c r="G50" s="192"/>
      <c r="H50" s="198"/>
      <c r="I50" s="192"/>
      <c r="J50" s="192"/>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25">
      <c r="A51" s="17">
        <v>6</v>
      </c>
      <c r="B51" s="17">
        <v>67</v>
      </c>
      <c r="C51" s="74">
        <v>297</v>
      </c>
      <c r="D51" s="193"/>
      <c r="E51" s="192"/>
      <c r="F51" s="192"/>
      <c r="G51" s="199">
        <v>3</v>
      </c>
      <c r="H51" s="198" t="s">
        <v>96</v>
      </c>
      <c r="I51" s="199">
        <v>3</v>
      </c>
      <c r="J51" s="192"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25">
      <c r="A52" s="17">
        <v>6</v>
      </c>
      <c r="B52" s="17">
        <v>67</v>
      </c>
      <c r="C52" s="74">
        <v>310</v>
      </c>
      <c r="D52" s="193"/>
      <c r="E52" s="192"/>
      <c r="F52" s="192"/>
      <c r="G52" s="199"/>
      <c r="H52" s="198"/>
      <c r="I52" s="199"/>
      <c r="J52" s="192"/>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25">
      <c r="A53" s="17">
        <v>6</v>
      </c>
      <c r="B53" s="17">
        <v>63</v>
      </c>
      <c r="C53" s="74">
        <v>265</v>
      </c>
      <c r="D53" s="193"/>
      <c r="E53" s="192"/>
      <c r="F53" s="192"/>
      <c r="G53" s="192">
        <v>4</v>
      </c>
      <c r="H53" s="198" t="s">
        <v>91</v>
      </c>
      <c r="I53" s="192">
        <v>4</v>
      </c>
      <c r="J53" s="192"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25">
      <c r="A54" s="17">
        <v>6</v>
      </c>
      <c r="B54" s="17">
        <v>63</v>
      </c>
      <c r="C54" s="74">
        <v>266</v>
      </c>
      <c r="D54" s="193"/>
      <c r="E54" s="192"/>
      <c r="F54" s="192"/>
      <c r="G54" s="192"/>
      <c r="H54" s="198"/>
      <c r="I54" s="192"/>
      <c r="J54" s="192"/>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25">
      <c r="A55" s="17">
        <v>6</v>
      </c>
      <c r="B55" s="17">
        <v>64</v>
      </c>
      <c r="C55" s="74">
        <v>267</v>
      </c>
      <c r="D55" s="193"/>
      <c r="E55" s="192"/>
      <c r="F55" s="192"/>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25">
      <c r="A56" s="17">
        <v>7</v>
      </c>
      <c r="B56" s="17">
        <v>65</v>
      </c>
      <c r="C56" s="74">
        <v>268</v>
      </c>
      <c r="D56" s="193">
        <v>7</v>
      </c>
      <c r="E56" s="192" t="s">
        <v>333</v>
      </c>
      <c r="F56" s="192" t="s">
        <v>334</v>
      </c>
      <c r="G56" s="192">
        <v>1</v>
      </c>
      <c r="H56" s="198" t="s">
        <v>335</v>
      </c>
      <c r="I56" s="192">
        <v>1</v>
      </c>
      <c r="J56" s="192"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25">
      <c r="A57" s="17">
        <v>7</v>
      </c>
      <c r="B57" s="17">
        <v>65</v>
      </c>
      <c r="C57" s="74">
        <v>269</v>
      </c>
      <c r="D57" s="193"/>
      <c r="E57" s="192"/>
      <c r="F57" s="192"/>
      <c r="G57" s="192"/>
      <c r="H57" s="198"/>
      <c r="I57" s="192"/>
      <c r="J57" s="192"/>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25">
      <c r="A58" s="17">
        <v>7</v>
      </c>
      <c r="B58" s="17">
        <v>65</v>
      </c>
      <c r="C58" s="74">
        <v>270</v>
      </c>
      <c r="D58" s="193"/>
      <c r="E58" s="192"/>
      <c r="F58" s="192"/>
      <c r="G58" s="192"/>
      <c r="H58" s="198"/>
      <c r="I58" s="192"/>
      <c r="J58" s="192"/>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25">
      <c r="A59" s="17">
        <v>7</v>
      </c>
      <c r="B59" s="17">
        <v>65</v>
      </c>
      <c r="C59" s="74">
        <v>271</v>
      </c>
      <c r="D59" s="193"/>
      <c r="E59" s="192"/>
      <c r="F59" s="192"/>
      <c r="G59" s="192"/>
      <c r="H59" s="198"/>
      <c r="I59" s="192"/>
      <c r="J59" s="192"/>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25">
      <c r="A60" s="17">
        <v>7</v>
      </c>
      <c r="B60" s="17">
        <v>66</v>
      </c>
      <c r="C60" s="74">
        <v>272</v>
      </c>
      <c r="D60" s="193"/>
      <c r="E60" s="192"/>
      <c r="F60" s="192"/>
      <c r="G60" s="192">
        <v>2</v>
      </c>
      <c r="H60" s="198" t="s">
        <v>53</v>
      </c>
      <c r="I60" s="192">
        <v>2</v>
      </c>
      <c r="J60" s="192"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25">
      <c r="A61" s="17">
        <v>7</v>
      </c>
      <c r="B61" s="17">
        <v>66</v>
      </c>
      <c r="C61" s="74">
        <v>273</v>
      </c>
      <c r="D61" s="193"/>
      <c r="E61" s="192"/>
      <c r="F61" s="192"/>
      <c r="G61" s="192"/>
      <c r="H61" s="198"/>
      <c r="I61" s="192"/>
      <c r="J61" s="192"/>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25">
      <c r="A62" s="17">
        <v>7</v>
      </c>
      <c r="B62" s="17">
        <v>66</v>
      </c>
      <c r="C62" s="74">
        <v>274</v>
      </c>
      <c r="D62" s="193"/>
      <c r="E62" s="192"/>
      <c r="F62" s="192"/>
      <c r="G62" s="192"/>
      <c r="H62" s="198"/>
      <c r="I62" s="192"/>
      <c r="J62" s="192"/>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25">
      <c r="A63" s="17">
        <v>7</v>
      </c>
      <c r="B63" s="17">
        <v>66</v>
      </c>
      <c r="C63" s="74">
        <v>306</v>
      </c>
      <c r="D63" s="193"/>
      <c r="E63" s="192"/>
      <c r="F63" s="192"/>
      <c r="G63" s="192"/>
      <c r="H63" s="198"/>
      <c r="I63" s="192"/>
      <c r="J63" s="192"/>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25">
      <c r="A64" s="17">
        <v>7</v>
      </c>
      <c r="B64" s="17">
        <v>68</v>
      </c>
      <c r="C64" s="74">
        <v>275</v>
      </c>
      <c r="D64" s="193"/>
      <c r="E64" s="192"/>
      <c r="F64" s="192"/>
      <c r="G64" s="192">
        <v>3</v>
      </c>
      <c r="H64" s="198" t="s">
        <v>346</v>
      </c>
      <c r="I64" s="192">
        <v>3</v>
      </c>
      <c r="J64" s="192"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25">
      <c r="A65" s="17">
        <v>7</v>
      </c>
      <c r="B65" s="17">
        <v>68</v>
      </c>
      <c r="C65" s="74">
        <v>276</v>
      </c>
      <c r="D65" s="193"/>
      <c r="E65" s="192"/>
      <c r="F65" s="192"/>
      <c r="G65" s="192"/>
      <c r="H65" s="198"/>
      <c r="I65" s="192"/>
      <c r="J65" s="192"/>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25">
      <c r="A66" s="17">
        <v>8</v>
      </c>
      <c r="B66" s="17">
        <v>69</v>
      </c>
      <c r="C66" s="74">
        <v>277</v>
      </c>
      <c r="D66" s="193">
        <v>8</v>
      </c>
      <c r="E66" s="192" t="s">
        <v>350</v>
      </c>
      <c r="F66" s="196" t="s">
        <v>351</v>
      </c>
      <c r="G66" s="192">
        <v>1</v>
      </c>
      <c r="H66" s="198" t="s">
        <v>58</v>
      </c>
      <c r="I66" s="192">
        <v>1</v>
      </c>
      <c r="J66" s="192"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25">
      <c r="A67" s="17">
        <v>8</v>
      </c>
      <c r="B67" s="17">
        <v>69</v>
      </c>
      <c r="C67" s="74">
        <v>278</v>
      </c>
      <c r="D67" s="193"/>
      <c r="E67" s="192"/>
      <c r="F67" s="196"/>
      <c r="G67" s="192"/>
      <c r="H67" s="198"/>
      <c r="I67" s="192"/>
      <c r="J67" s="192"/>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25">
      <c r="A68" s="17">
        <v>8</v>
      </c>
      <c r="B68" s="17">
        <v>69</v>
      </c>
      <c r="C68" s="74">
        <v>279</v>
      </c>
      <c r="D68" s="193"/>
      <c r="E68" s="192"/>
      <c r="F68" s="196"/>
      <c r="G68" s="192"/>
      <c r="H68" s="198"/>
      <c r="I68" s="192"/>
      <c r="J68" s="192"/>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25">
      <c r="A69" s="17">
        <v>8</v>
      </c>
      <c r="B69" s="17">
        <v>70</v>
      </c>
      <c r="C69" s="74">
        <v>283</v>
      </c>
      <c r="D69" s="193"/>
      <c r="E69" s="192"/>
      <c r="F69" s="196"/>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25">
      <c r="A70" s="17">
        <v>8</v>
      </c>
      <c r="B70" s="17">
        <v>71</v>
      </c>
      <c r="C70" s="74">
        <v>281</v>
      </c>
      <c r="D70" s="193"/>
      <c r="E70" s="192"/>
      <c r="F70" s="196"/>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25">
      <c r="A71" s="17">
        <v>8</v>
      </c>
      <c r="B71" s="17">
        <v>72</v>
      </c>
      <c r="C71" s="74">
        <v>282</v>
      </c>
      <c r="D71" s="193"/>
      <c r="E71" s="192"/>
      <c r="F71" s="196"/>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25">
      <c r="A72" s="17">
        <v>8</v>
      </c>
      <c r="B72" s="17">
        <v>73</v>
      </c>
      <c r="C72" s="74">
        <v>280</v>
      </c>
      <c r="D72" s="193"/>
      <c r="E72" s="192"/>
      <c r="F72" s="196"/>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25">
      <c r="A73" s="17">
        <v>8</v>
      </c>
      <c r="B73" s="17">
        <v>74</v>
      </c>
      <c r="C73" s="74">
        <v>284</v>
      </c>
      <c r="D73" s="193"/>
      <c r="E73" s="192"/>
      <c r="F73" s="196"/>
      <c r="G73" s="192">
        <v>6</v>
      </c>
      <c r="H73" s="198" t="s">
        <v>69</v>
      </c>
      <c r="I73" s="192">
        <v>6</v>
      </c>
      <c r="J73" s="192"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25">
      <c r="A74" s="17">
        <v>8</v>
      </c>
      <c r="B74" s="17">
        <v>74</v>
      </c>
      <c r="C74" s="74">
        <v>285</v>
      </c>
      <c r="D74" s="193"/>
      <c r="E74" s="192"/>
      <c r="F74" s="196"/>
      <c r="G74" s="192"/>
      <c r="H74" s="198"/>
      <c r="I74" s="192"/>
      <c r="J74" s="192"/>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25">
      <c r="A75" s="17">
        <v>8</v>
      </c>
      <c r="B75" s="17">
        <v>75</v>
      </c>
      <c r="C75" s="74">
        <v>286</v>
      </c>
      <c r="D75" s="193"/>
      <c r="E75" s="192"/>
      <c r="F75" s="196"/>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25">
      <c r="A76" s="17">
        <v>8</v>
      </c>
      <c r="B76" s="17">
        <v>76</v>
      </c>
      <c r="C76" s="74">
        <v>287</v>
      </c>
      <c r="D76" s="193"/>
      <c r="E76" s="192"/>
      <c r="F76" s="196"/>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
      <c r="A77" s="17">
        <v>8</v>
      </c>
      <c r="B77" s="17">
        <v>77</v>
      </c>
      <c r="C77" s="74">
        <v>288</v>
      </c>
      <c r="D77" s="194"/>
      <c r="E77" s="195"/>
      <c r="F77" s="197"/>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
      <c r="G80" s="45"/>
      <c r="H80" s="45"/>
      <c r="I80" s="45"/>
      <c r="J80" s="45"/>
      <c r="K80" s="45"/>
      <c r="L80" s="46"/>
    </row>
    <row r="81" spans="7:11" ht="15.75" x14ac:dyDescent="0.2">
      <c r="G81" s="191" t="s">
        <v>367</v>
      </c>
      <c r="H81" s="191"/>
      <c r="I81" s="191"/>
      <c r="J81" s="191"/>
      <c r="K81" s="191"/>
    </row>
    <row r="82" spans="7:11" x14ac:dyDescent="0.2">
      <c r="G82" s="189">
        <v>43616</v>
      </c>
      <c r="H82" s="190"/>
      <c r="I82" s="190"/>
      <c r="J82" s="190"/>
      <c r="K82" s="190"/>
    </row>
  </sheetData>
  <mergeCells count="108">
    <mergeCell ref="J22:J26"/>
    <mergeCell ref="I22:I26"/>
    <mergeCell ref="I34:I36"/>
    <mergeCell ref="G34:G36"/>
    <mergeCell ref="H34:H36"/>
    <mergeCell ref="J34:J36"/>
    <mergeCell ref="J27:J32"/>
    <mergeCell ref="I27:I32"/>
    <mergeCell ref="H27:H32"/>
    <mergeCell ref="G27:G32"/>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G82:K82"/>
    <mergeCell ref="G81:K81"/>
    <mergeCell ref="J73:J74"/>
    <mergeCell ref="D66:D77"/>
    <mergeCell ref="E66:E77"/>
    <mergeCell ref="F66:F77"/>
    <mergeCell ref="G66:G68"/>
    <mergeCell ref="H66:H68"/>
    <mergeCell ref="J66:J68"/>
    <mergeCell ref="G73:G74"/>
    <mergeCell ref="H73:H74"/>
    <mergeCell ref="I66:I68"/>
    <mergeCell ref="I73:I74"/>
  </mergeCells>
  <conditionalFormatting sqref="O5:O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AE87"/>
  <sheetViews>
    <sheetView showGridLines="0" tabSelected="1" zoomScale="80" zoomScaleNormal="80" zoomScaleSheetLayoutView="20" workbookViewId="0">
      <pane ySplit="4" topLeftCell="A65" activePane="bottomLeft" state="frozen"/>
      <selection pane="bottomLeft" activeCell="I65" sqref="I65"/>
    </sheetView>
  </sheetViews>
  <sheetFormatPr baseColWidth="10" defaultColWidth="11.42578125" defaultRowHeight="15" x14ac:dyDescent="0.2"/>
  <cols>
    <col min="1" max="1" width="6.5703125" style="43" customWidth="1"/>
    <col min="2" max="2" width="27.140625" style="44" customWidth="1"/>
    <col min="3" max="3" width="17.140625" style="44" customWidth="1"/>
    <col min="4" max="4" width="5" style="43" customWidth="1"/>
    <col min="5" max="5" width="39.28515625" style="44" customWidth="1"/>
    <col min="6" max="6" width="5" style="43" customWidth="1"/>
    <col min="7" max="7" width="26.28515625" style="47" customWidth="1"/>
    <col min="8" max="8" width="47.42578125" style="44" customWidth="1"/>
    <col min="9" max="9" width="43" style="44" bestFit="1" customWidth="1"/>
    <col min="10" max="10" width="13.42578125" style="44" bestFit="1" customWidth="1"/>
    <col min="11" max="11" width="22.42578125" style="43" bestFit="1" customWidth="1"/>
    <col min="12" max="13" width="18.42578125" style="44" bestFit="1" customWidth="1"/>
    <col min="14" max="14" width="22.42578125" style="44" bestFit="1" customWidth="1"/>
    <col min="15" max="15" width="20.7109375" style="44" bestFit="1" customWidth="1"/>
    <col min="16" max="16" width="24.140625" style="44" hidden="1" customWidth="1"/>
    <col min="17" max="17" width="31.28515625" style="44" hidden="1" customWidth="1"/>
    <col min="18" max="18" width="23.5703125" style="44" hidden="1" customWidth="1"/>
    <col min="19" max="19" width="18.7109375" style="44" bestFit="1" customWidth="1"/>
    <col min="20" max="20" width="20.7109375" style="44" bestFit="1" customWidth="1"/>
    <col min="21" max="21" width="26.85546875" style="44" hidden="1" customWidth="1"/>
    <col min="22" max="22" width="37.140625" style="44" hidden="1" customWidth="1"/>
    <col min="23" max="23" width="23.5703125" style="44" hidden="1" customWidth="1"/>
    <col min="24" max="25" width="18.7109375" style="44" customWidth="1"/>
    <col min="26" max="26" width="19.5703125" style="48" bestFit="1" customWidth="1"/>
    <col min="27" max="28" width="19.5703125" style="48" customWidth="1"/>
    <col min="29" max="29" width="54" style="48" customWidth="1"/>
    <col min="30" max="16384" width="11.42578125" style="48"/>
  </cols>
  <sheetData>
    <row r="1" spans="1:29" s="13" customFormat="1" ht="30.75" customHeight="1" x14ac:dyDescent="0.25">
      <c r="A1" s="207"/>
      <c r="B1" s="208"/>
      <c r="C1" s="208"/>
      <c r="D1" s="208"/>
      <c r="E1" s="209"/>
      <c r="F1" s="219" t="s">
        <v>385</v>
      </c>
      <c r="G1" s="203"/>
      <c r="H1" s="203"/>
      <c r="I1" s="203"/>
      <c r="J1" s="203"/>
      <c r="K1" s="203"/>
      <c r="L1" s="203"/>
      <c r="M1" s="203"/>
      <c r="N1" s="203"/>
      <c r="O1" s="203"/>
      <c r="P1" s="203"/>
      <c r="Q1" s="203"/>
      <c r="R1" s="203"/>
      <c r="S1" s="203"/>
      <c r="T1" s="203"/>
      <c r="U1" s="203"/>
      <c r="V1" s="203"/>
      <c r="W1" s="203"/>
      <c r="X1" s="203"/>
      <c r="Y1" s="203"/>
      <c r="Z1" s="203"/>
      <c r="AA1" s="203"/>
      <c r="AB1" s="203"/>
      <c r="AC1" s="203"/>
    </row>
    <row r="2" spans="1:29" s="14" customFormat="1" ht="30.75" customHeight="1" x14ac:dyDescent="0.25">
      <c r="A2" s="210"/>
      <c r="B2" s="211"/>
      <c r="C2" s="211"/>
      <c r="D2" s="211"/>
      <c r="E2" s="212"/>
      <c r="F2" s="121"/>
      <c r="G2" s="121"/>
      <c r="H2" s="121"/>
      <c r="I2" s="121"/>
      <c r="J2" s="121"/>
      <c r="K2" s="121"/>
      <c r="L2" s="121"/>
      <c r="M2" s="121"/>
      <c r="N2" s="121"/>
      <c r="O2" s="121"/>
      <c r="P2" s="121"/>
      <c r="Q2" s="121"/>
      <c r="R2" s="121"/>
      <c r="S2" s="121"/>
      <c r="T2" s="121"/>
      <c r="U2" s="121"/>
      <c r="V2" s="121"/>
      <c r="W2" s="121"/>
      <c r="X2" s="121"/>
      <c r="Y2" s="121"/>
    </row>
    <row r="3" spans="1:29" s="13" customFormat="1" ht="30.75" customHeight="1" thickBot="1" x14ac:dyDescent="0.3">
      <c r="A3" s="210"/>
      <c r="B3" s="211"/>
      <c r="C3" s="211"/>
      <c r="D3" s="211"/>
      <c r="E3" s="212"/>
      <c r="F3" s="121"/>
      <c r="G3" s="121"/>
      <c r="H3" s="121"/>
      <c r="I3" s="121"/>
      <c r="J3" s="121"/>
      <c r="K3" s="121"/>
      <c r="L3" s="121"/>
      <c r="M3" s="121"/>
      <c r="N3" s="121"/>
      <c r="O3" s="121"/>
      <c r="P3" s="121"/>
      <c r="Q3" s="121"/>
      <c r="R3" s="121"/>
      <c r="S3" s="121"/>
      <c r="T3" s="121"/>
      <c r="U3" s="121"/>
      <c r="V3" s="121"/>
      <c r="W3" s="121"/>
      <c r="X3" s="121"/>
      <c r="Y3" s="121"/>
    </row>
    <row r="4" spans="1:29" s="16" customFormat="1" ht="51.75" customHeight="1" x14ac:dyDescent="0.25">
      <c r="A4" s="123" t="s">
        <v>240</v>
      </c>
      <c r="B4" s="124" t="s">
        <v>241</v>
      </c>
      <c r="C4" s="124" t="s">
        <v>242</v>
      </c>
      <c r="D4" s="124" t="s">
        <v>243</v>
      </c>
      <c r="E4" s="124" t="s">
        <v>244</v>
      </c>
      <c r="F4" s="124" t="s">
        <v>243</v>
      </c>
      <c r="G4" s="124" t="s">
        <v>245</v>
      </c>
      <c r="H4" s="124" t="s">
        <v>246</v>
      </c>
      <c r="I4" s="124" t="s">
        <v>247</v>
      </c>
      <c r="J4" s="124" t="s">
        <v>248</v>
      </c>
      <c r="K4" s="124" t="s">
        <v>249</v>
      </c>
      <c r="L4" s="125" t="s">
        <v>250</v>
      </c>
      <c r="M4" s="126" t="s">
        <v>373</v>
      </c>
      <c r="N4" s="125" t="s">
        <v>252</v>
      </c>
      <c r="O4" s="126" t="s">
        <v>404</v>
      </c>
      <c r="P4" s="128" t="s">
        <v>387</v>
      </c>
      <c r="Q4" s="128" t="s">
        <v>388</v>
      </c>
      <c r="R4" s="128" t="s">
        <v>402</v>
      </c>
      <c r="S4" s="125" t="s">
        <v>253</v>
      </c>
      <c r="T4" s="126" t="s">
        <v>405</v>
      </c>
      <c r="U4" s="128" t="s">
        <v>399</v>
      </c>
      <c r="V4" s="128" t="s">
        <v>401</v>
      </c>
      <c r="W4" s="128" t="s">
        <v>403</v>
      </c>
      <c r="X4" s="125" t="s">
        <v>254</v>
      </c>
      <c r="Y4" s="125" t="s">
        <v>406</v>
      </c>
      <c r="Z4" s="128" t="s">
        <v>408</v>
      </c>
      <c r="AA4" s="128" t="s">
        <v>411</v>
      </c>
      <c r="AB4" s="128" t="s">
        <v>407</v>
      </c>
      <c r="AC4" s="137" t="s">
        <v>416</v>
      </c>
    </row>
    <row r="5" spans="1:29" s="20" customFormat="1" ht="45" x14ac:dyDescent="0.25">
      <c r="A5" s="193">
        <v>1</v>
      </c>
      <c r="B5" s="192" t="s">
        <v>255</v>
      </c>
      <c r="C5" s="192" t="s">
        <v>256</v>
      </c>
      <c r="D5" s="192">
        <v>1</v>
      </c>
      <c r="E5" s="198" t="s">
        <v>0</v>
      </c>
      <c r="F5" s="192">
        <v>1</v>
      </c>
      <c r="G5" s="192" t="s">
        <v>257</v>
      </c>
      <c r="H5" s="155" t="s">
        <v>258</v>
      </c>
      <c r="I5" s="156" t="s">
        <v>1</v>
      </c>
      <c r="J5" s="154" t="s">
        <v>259</v>
      </c>
      <c r="K5" s="154">
        <v>1</v>
      </c>
      <c r="L5" s="154" t="s">
        <v>260</v>
      </c>
      <c r="M5" s="18" t="s">
        <v>259</v>
      </c>
      <c r="N5" s="18" t="s">
        <v>260</v>
      </c>
      <c r="O5" s="18" t="s">
        <v>259</v>
      </c>
      <c r="P5" s="18" t="s">
        <v>259</v>
      </c>
      <c r="Q5" s="18" t="s">
        <v>259</v>
      </c>
      <c r="R5" s="18" t="s">
        <v>259</v>
      </c>
      <c r="S5" s="18" t="s">
        <v>260</v>
      </c>
      <c r="T5" s="18" t="s">
        <v>259</v>
      </c>
      <c r="U5" s="18" t="s">
        <v>259</v>
      </c>
      <c r="V5" s="18" t="s">
        <v>259</v>
      </c>
      <c r="W5" s="18" t="s">
        <v>259</v>
      </c>
      <c r="X5" s="18">
        <v>1</v>
      </c>
      <c r="Y5" s="18">
        <v>0</v>
      </c>
      <c r="Z5" s="177" t="s">
        <v>259</v>
      </c>
      <c r="AA5" s="74" t="s">
        <v>259</v>
      </c>
      <c r="AB5" s="173" t="s">
        <v>259</v>
      </c>
      <c r="AC5" s="170" t="s">
        <v>470</v>
      </c>
    </row>
    <row r="6" spans="1:29" s="20" customFormat="1" ht="90" x14ac:dyDescent="0.25">
      <c r="A6" s="193"/>
      <c r="B6" s="192"/>
      <c r="C6" s="192"/>
      <c r="D6" s="192"/>
      <c r="E6" s="198"/>
      <c r="F6" s="192"/>
      <c r="G6" s="192"/>
      <c r="H6" s="155" t="s">
        <v>2</v>
      </c>
      <c r="I6" s="156" t="s">
        <v>1</v>
      </c>
      <c r="J6" s="154" t="s">
        <v>259</v>
      </c>
      <c r="K6" s="49">
        <v>0.25</v>
      </c>
      <c r="L6" s="50">
        <v>0.25</v>
      </c>
      <c r="M6" s="50">
        <v>0.25</v>
      </c>
      <c r="N6" s="50">
        <v>0.25</v>
      </c>
      <c r="O6" s="50">
        <v>0.25</v>
      </c>
      <c r="P6" s="50">
        <f>O6/N6</f>
        <v>1</v>
      </c>
      <c r="Q6" s="50">
        <f>O6</f>
        <v>0.25</v>
      </c>
      <c r="R6" s="50">
        <f>Q6/K6</f>
        <v>1</v>
      </c>
      <c r="S6" s="50">
        <v>0.25</v>
      </c>
      <c r="T6" s="181">
        <v>0.23</v>
      </c>
      <c r="U6" s="50">
        <f>T6/S6</f>
        <v>0.92</v>
      </c>
      <c r="V6" s="50">
        <f>T6</f>
        <v>0.23</v>
      </c>
      <c r="W6" s="50">
        <f>T6/K6</f>
        <v>0.92</v>
      </c>
      <c r="X6" s="50">
        <v>0.25</v>
      </c>
      <c r="Y6" s="50">
        <v>0.25</v>
      </c>
      <c r="Z6" s="178">
        <f>Y6/X6</f>
        <v>1</v>
      </c>
      <c r="AA6" s="164">
        <f>Y6</f>
        <v>0.25</v>
      </c>
      <c r="AB6" s="174">
        <f t="shared" ref="AB6:AB14" si="0">AA6/K6</f>
        <v>1</v>
      </c>
      <c r="AC6" s="170" t="s">
        <v>468</v>
      </c>
    </row>
    <row r="7" spans="1:29" s="20" customFormat="1" ht="120" customHeight="1" x14ac:dyDescent="0.25">
      <c r="A7" s="193"/>
      <c r="B7" s="192"/>
      <c r="C7" s="192"/>
      <c r="D7" s="192"/>
      <c r="E7" s="198"/>
      <c r="F7" s="192"/>
      <c r="G7" s="192"/>
      <c r="H7" s="155" t="s">
        <v>4</v>
      </c>
      <c r="I7" s="156" t="s">
        <v>3</v>
      </c>
      <c r="J7" s="154">
        <v>2</v>
      </c>
      <c r="K7" s="51">
        <v>11</v>
      </c>
      <c r="L7" s="51">
        <v>3</v>
      </c>
      <c r="M7" s="51">
        <v>3</v>
      </c>
      <c r="N7" s="51">
        <v>6</v>
      </c>
      <c r="O7" s="51">
        <v>7</v>
      </c>
      <c r="P7" s="50">
        <f t="shared" ref="P7:P70" si="1">O7/N7</f>
        <v>1.1666666666666667</v>
      </c>
      <c r="Q7" s="51">
        <f>O7</f>
        <v>7</v>
      </c>
      <c r="R7" s="50">
        <f>Q7/K7</f>
        <v>0.63636363636363635</v>
      </c>
      <c r="S7" s="51">
        <v>1</v>
      </c>
      <c r="T7" s="51">
        <v>5</v>
      </c>
      <c r="U7" s="50">
        <f>T7/S7</f>
        <v>5</v>
      </c>
      <c r="V7" s="51">
        <f>T7+Q7</f>
        <v>12</v>
      </c>
      <c r="W7" s="50">
        <f t="shared" ref="W7:W22" si="2">V7/K7</f>
        <v>1.0909090909090908</v>
      </c>
      <c r="X7" s="18" t="s">
        <v>259</v>
      </c>
      <c r="Y7" s="18" t="s">
        <v>259</v>
      </c>
      <c r="Z7" s="177" t="s">
        <v>259</v>
      </c>
      <c r="AA7" s="169">
        <f>V7</f>
        <v>12</v>
      </c>
      <c r="AB7" s="174">
        <f t="shared" si="0"/>
        <v>1.0909090909090908</v>
      </c>
      <c r="AC7" s="170" t="s">
        <v>412</v>
      </c>
    </row>
    <row r="8" spans="1:29" s="20" customFormat="1" ht="120" customHeight="1" x14ac:dyDescent="0.25">
      <c r="A8" s="193"/>
      <c r="B8" s="192"/>
      <c r="C8" s="192"/>
      <c r="D8" s="192">
        <v>2</v>
      </c>
      <c r="E8" s="196" t="s">
        <v>262</v>
      </c>
      <c r="F8" s="192">
        <v>2</v>
      </c>
      <c r="G8" s="192" t="s">
        <v>256</v>
      </c>
      <c r="H8" s="155" t="s">
        <v>386</v>
      </c>
      <c r="I8" s="156" t="s">
        <v>5</v>
      </c>
      <c r="J8" s="154" t="s">
        <v>259</v>
      </c>
      <c r="K8" s="154">
        <v>1</v>
      </c>
      <c r="L8" s="154" t="s">
        <v>260</v>
      </c>
      <c r="M8" s="18" t="s">
        <v>259</v>
      </c>
      <c r="N8" s="18" t="s">
        <v>260</v>
      </c>
      <c r="O8" s="18" t="s">
        <v>259</v>
      </c>
      <c r="P8" s="50" t="s">
        <v>259</v>
      </c>
      <c r="Q8" s="50" t="s">
        <v>259</v>
      </c>
      <c r="R8" s="50" t="s">
        <v>259</v>
      </c>
      <c r="S8" s="18">
        <v>1</v>
      </c>
      <c r="T8" s="18">
        <v>1</v>
      </c>
      <c r="U8" s="50">
        <f>T8/S8</f>
        <v>1</v>
      </c>
      <c r="V8" s="133">
        <f>T8</f>
        <v>1</v>
      </c>
      <c r="W8" s="50">
        <f t="shared" si="2"/>
        <v>1</v>
      </c>
      <c r="X8" s="18" t="s">
        <v>259</v>
      </c>
      <c r="Y8" s="18" t="s">
        <v>259</v>
      </c>
      <c r="Z8" s="177" t="s">
        <v>259</v>
      </c>
      <c r="AA8" s="160">
        <f>V8</f>
        <v>1</v>
      </c>
      <c r="AB8" s="174">
        <f t="shared" si="0"/>
        <v>1</v>
      </c>
      <c r="AC8" s="170" t="s">
        <v>447</v>
      </c>
    </row>
    <row r="9" spans="1:29" s="20" customFormat="1" ht="120" customHeight="1" x14ac:dyDescent="0.25">
      <c r="A9" s="193"/>
      <c r="B9" s="192"/>
      <c r="C9" s="192"/>
      <c r="D9" s="192"/>
      <c r="E9" s="196"/>
      <c r="F9" s="192"/>
      <c r="G9" s="192"/>
      <c r="H9" s="155" t="s">
        <v>121</v>
      </c>
      <c r="I9" s="156" t="s">
        <v>5</v>
      </c>
      <c r="J9" s="154" t="s">
        <v>259</v>
      </c>
      <c r="K9" s="154">
        <v>3</v>
      </c>
      <c r="L9" s="120">
        <v>0</v>
      </c>
      <c r="M9" s="120">
        <v>0</v>
      </c>
      <c r="N9" s="18">
        <v>1</v>
      </c>
      <c r="O9" s="18">
        <v>7</v>
      </c>
      <c r="P9" s="50">
        <f t="shared" si="1"/>
        <v>7</v>
      </c>
      <c r="Q9" s="133">
        <f>O9</f>
        <v>7</v>
      </c>
      <c r="R9" s="50">
        <f t="shared" ref="R9:R40" si="3">Q9/K9</f>
        <v>2.3333333333333335</v>
      </c>
      <c r="S9" s="18">
        <v>2</v>
      </c>
      <c r="T9" s="133">
        <f>Q9+1</f>
        <v>8</v>
      </c>
      <c r="U9" s="50">
        <f>T9/S9</f>
        <v>4</v>
      </c>
      <c r="V9" s="133">
        <f>T9</f>
        <v>8</v>
      </c>
      <c r="W9" s="50">
        <f t="shared" si="2"/>
        <v>2.6666666666666665</v>
      </c>
      <c r="X9" s="18" t="s">
        <v>259</v>
      </c>
      <c r="Y9" s="18" t="s">
        <v>259</v>
      </c>
      <c r="Z9" s="177" t="s">
        <v>259</v>
      </c>
      <c r="AA9" s="160">
        <f>V9</f>
        <v>8</v>
      </c>
      <c r="AB9" s="176">
        <f t="shared" si="0"/>
        <v>2.6666666666666665</v>
      </c>
      <c r="AC9" s="170" t="s">
        <v>412</v>
      </c>
    </row>
    <row r="10" spans="1:29" s="20" customFormat="1" ht="120" customHeight="1" x14ac:dyDescent="0.25">
      <c r="A10" s="193"/>
      <c r="B10" s="192"/>
      <c r="C10" s="192"/>
      <c r="D10" s="192"/>
      <c r="E10" s="196"/>
      <c r="F10" s="192"/>
      <c r="G10" s="192"/>
      <c r="H10" s="155" t="s">
        <v>265</v>
      </c>
      <c r="I10" s="156" t="s">
        <v>124</v>
      </c>
      <c r="J10" s="154" t="s">
        <v>260</v>
      </c>
      <c r="K10" s="52">
        <v>1</v>
      </c>
      <c r="L10" s="52">
        <v>0.25</v>
      </c>
      <c r="M10" s="22">
        <v>0.35</v>
      </c>
      <c r="N10" s="22">
        <v>0.25</v>
      </c>
      <c r="O10" s="22">
        <v>0.25</v>
      </c>
      <c r="P10" s="50">
        <f t="shared" si="1"/>
        <v>1</v>
      </c>
      <c r="Q10" s="50">
        <f>M10+O10</f>
        <v>0.6</v>
      </c>
      <c r="R10" s="50">
        <f t="shared" si="3"/>
        <v>0.6</v>
      </c>
      <c r="S10" s="22">
        <v>0.25</v>
      </c>
      <c r="T10" s="50">
        <v>0.25</v>
      </c>
      <c r="U10" s="50">
        <f>T10/S10</f>
        <v>1</v>
      </c>
      <c r="V10" s="50">
        <f>T10+Q10</f>
        <v>0.85</v>
      </c>
      <c r="W10" s="50">
        <f t="shared" si="2"/>
        <v>0.85</v>
      </c>
      <c r="X10" s="22">
        <v>0.25</v>
      </c>
      <c r="Y10" s="22">
        <v>0.12</v>
      </c>
      <c r="Z10" s="179">
        <f>Y10/X10</f>
        <v>0.48</v>
      </c>
      <c r="AA10" s="164">
        <f>V10+Y10</f>
        <v>0.97</v>
      </c>
      <c r="AB10" s="174">
        <f>AA10/K10</f>
        <v>0.97</v>
      </c>
      <c r="AC10" s="170" t="s">
        <v>451</v>
      </c>
    </row>
    <row r="11" spans="1:29" s="20" customFormat="1" ht="120" customHeight="1" x14ac:dyDescent="0.25">
      <c r="A11" s="193"/>
      <c r="B11" s="192"/>
      <c r="C11" s="192"/>
      <c r="D11" s="192"/>
      <c r="E11" s="196"/>
      <c r="F11" s="192"/>
      <c r="G11" s="192"/>
      <c r="H11" s="155" t="s">
        <v>267</v>
      </c>
      <c r="I11" s="156" t="s">
        <v>3</v>
      </c>
      <c r="J11" s="154">
        <v>1</v>
      </c>
      <c r="K11" s="51">
        <v>3</v>
      </c>
      <c r="L11" s="154">
        <v>1</v>
      </c>
      <c r="M11" s="18">
        <v>1</v>
      </c>
      <c r="N11" s="24">
        <v>1</v>
      </c>
      <c r="O11" s="24">
        <v>1</v>
      </c>
      <c r="P11" s="50">
        <f t="shared" si="1"/>
        <v>1</v>
      </c>
      <c r="Q11" s="24">
        <v>2</v>
      </c>
      <c r="R11" s="50">
        <f t="shared" si="3"/>
        <v>0.66666666666666663</v>
      </c>
      <c r="S11" s="24">
        <v>0</v>
      </c>
      <c r="T11" s="24">
        <v>5</v>
      </c>
      <c r="U11" s="50" t="s">
        <v>259</v>
      </c>
      <c r="V11" s="24">
        <f>T11+Q11</f>
        <v>7</v>
      </c>
      <c r="W11" s="50">
        <f t="shared" si="2"/>
        <v>2.3333333333333335</v>
      </c>
      <c r="X11" s="24">
        <v>1</v>
      </c>
      <c r="Y11" s="24">
        <v>1</v>
      </c>
      <c r="Z11" s="131">
        <f>Y11/X11</f>
        <v>1</v>
      </c>
      <c r="AA11" s="171">
        <f>V11+Y11</f>
        <v>8</v>
      </c>
      <c r="AB11" s="174">
        <f>AA11/K11</f>
        <v>2.6666666666666665</v>
      </c>
      <c r="AC11" s="170" t="s">
        <v>434</v>
      </c>
    </row>
    <row r="12" spans="1:29" s="20" customFormat="1" ht="120" customHeight="1" x14ac:dyDescent="0.25">
      <c r="A12" s="193"/>
      <c r="B12" s="192"/>
      <c r="C12" s="192"/>
      <c r="D12" s="154">
        <v>3</v>
      </c>
      <c r="E12" s="53" t="s">
        <v>7</v>
      </c>
      <c r="F12" s="154">
        <v>3</v>
      </c>
      <c r="G12" s="154" t="s">
        <v>261</v>
      </c>
      <c r="H12" s="155" t="s">
        <v>268</v>
      </c>
      <c r="I12" s="156" t="s">
        <v>3</v>
      </c>
      <c r="J12" s="154">
        <v>10</v>
      </c>
      <c r="K12" s="154">
        <v>14</v>
      </c>
      <c r="L12" s="154">
        <v>1</v>
      </c>
      <c r="M12" s="18">
        <v>4</v>
      </c>
      <c r="N12" s="18">
        <v>14</v>
      </c>
      <c r="O12" s="18">
        <v>14</v>
      </c>
      <c r="P12" s="50">
        <f t="shared" si="1"/>
        <v>1</v>
      </c>
      <c r="Q12" s="133">
        <f t="shared" ref="Q12:Q18" si="4">O12</f>
        <v>14</v>
      </c>
      <c r="R12" s="50">
        <f t="shared" si="3"/>
        <v>1</v>
      </c>
      <c r="S12" s="18">
        <v>14</v>
      </c>
      <c r="T12" s="133">
        <v>14</v>
      </c>
      <c r="U12" s="50">
        <f>T12/S12</f>
        <v>1</v>
      </c>
      <c r="V12" s="133">
        <f>T12</f>
        <v>14</v>
      </c>
      <c r="W12" s="50">
        <f t="shared" si="2"/>
        <v>1</v>
      </c>
      <c r="X12" s="18">
        <v>14</v>
      </c>
      <c r="Y12" s="18">
        <v>14</v>
      </c>
      <c r="Z12" s="131">
        <f>Y12/X12</f>
        <v>1</v>
      </c>
      <c r="AA12" s="160">
        <f>Y12</f>
        <v>14</v>
      </c>
      <c r="AB12" s="176">
        <f t="shared" si="0"/>
        <v>1</v>
      </c>
      <c r="AC12" s="170" t="s">
        <v>435</v>
      </c>
    </row>
    <row r="13" spans="1:29" s="20" customFormat="1" ht="120" customHeight="1" x14ac:dyDescent="0.25">
      <c r="A13" s="193">
        <v>2</v>
      </c>
      <c r="B13" s="192" t="s">
        <v>270</v>
      </c>
      <c r="C13" s="192" t="s">
        <v>271</v>
      </c>
      <c r="D13" s="192">
        <v>1</v>
      </c>
      <c r="E13" s="198" t="s">
        <v>272</v>
      </c>
      <c r="F13" s="192">
        <v>1</v>
      </c>
      <c r="G13" s="192" t="s">
        <v>273</v>
      </c>
      <c r="H13" s="155" t="s">
        <v>274</v>
      </c>
      <c r="I13" s="156" t="s">
        <v>10</v>
      </c>
      <c r="J13" s="49">
        <v>0.93</v>
      </c>
      <c r="K13" s="49">
        <v>1</v>
      </c>
      <c r="L13" s="52">
        <v>0.93</v>
      </c>
      <c r="M13" s="22">
        <v>0.93</v>
      </c>
      <c r="N13" s="22">
        <v>0.96</v>
      </c>
      <c r="O13" s="22">
        <v>0.96</v>
      </c>
      <c r="P13" s="50">
        <f t="shared" si="1"/>
        <v>1</v>
      </c>
      <c r="Q13" s="50">
        <f t="shared" si="4"/>
        <v>0.96</v>
      </c>
      <c r="R13" s="50">
        <f t="shared" si="3"/>
        <v>0.96</v>
      </c>
      <c r="S13" s="22">
        <v>0.98</v>
      </c>
      <c r="T13" s="181">
        <v>0.98140000000000005</v>
      </c>
      <c r="U13" s="50">
        <f>T13/S13</f>
        <v>1.0014285714285716</v>
      </c>
      <c r="V13" s="50">
        <f>T13</f>
        <v>0.98140000000000005</v>
      </c>
      <c r="W13" s="50">
        <f t="shared" si="2"/>
        <v>0.98140000000000005</v>
      </c>
      <c r="X13" s="22">
        <v>1</v>
      </c>
      <c r="Y13" s="22">
        <v>1</v>
      </c>
      <c r="Z13" s="179">
        <f>Y13/X13</f>
        <v>1</v>
      </c>
      <c r="AA13" s="153">
        <f>Y13</f>
        <v>1</v>
      </c>
      <c r="AB13" s="175">
        <f t="shared" si="0"/>
        <v>1</v>
      </c>
      <c r="AC13" s="170" t="s">
        <v>444</v>
      </c>
    </row>
    <row r="14" spans="1:29" s="20" customFormat="1" ht="120" customHeight="1" x14ac:dyDescent="0.25">
      <c r="A14" s="193"/>
      <c r="B14" s="192"/>
      <c r="C14" s="192"/>
      <c r="D14" s="192"/>
      <c r="E14" s="198"/>
      <c r="F14" s="192"/>
      <c r="G14" s="192"/>
      <c r="H14" s="155" t="s">
        <v>379</v>
      </c>
      <c r="I14" s="156" t="s">
        <v>10</v>
      </c>
      <c r="J14" s="154">
        <v>211</v>
      </c>
      <c r="K14" s="54">
        <v>11567</v>
      </c>
      <c r="L14" s="55">
        <v>2711</v>
      </c>
      <c r="M14" s="27">
        <v>3102</v>
      </c>
      <c r="N14" s="27">
        <v>5211</v>
      </c>
      <c r="O14" s="27">
        <v>7754</v>
      </c>
      <c r="P14" s="50">
        <f t="shared" si="1"/>
        <v>1.4880061408558818</v>
      </c>
      <c r="Q14" s="133">
        <f t="shared" si="4"/>
        <v>7754</v>
      </c>
      <c r="R14" s="50">
        <f t="shared" si="3"/>
        <v>0.67035532117230046</v>
      </c>
      <c r="S14" s="27">
        <v>10067</v>
      </c>
      <c r="T14" s="133">
        <v>10639</v>
      </c>
      <c r="U14" s="50">
        <f>T14/S14</f>
        <v>1.0568193106188537</v>
      </c>
      <c r="V14" s="133">
        <f>T14</f>
        <v>10639</v>
      </c>
      <c r="W14" s="50">
        <f t="shared" si="2"/>
        <v>0.9197717645024639</v>
      </c>
      <c r="X14" s="27">
        <v>11567</v>
      </c>
      <c r="Y14" s="27">
        <v>11545</v>
      </c>
      <c r="Z14" s="179">
        <f>Y14/X14</f>
        <v>0.9980980375205325</v>
      </c>
      <c r="AA14" s="160">
        <f>Y14</f>
        <v>11545</v>
      </c>
      <c r="AB14" s="175">
        <f t="shared" si="0"/>
        <v>0.9980980375205325</v>
      </c>
      <c r="AC14" s="170" t="s">
        <v>445</v>
      </c>
    </row>
    <row r="15" spans="1:29" s="20" customFormat="1" ht="120" customHeight="1" x14ac:dyDescent="0.25">
      <c r="A15" s="193"/>
      <c r="B15" s="192"/>
      <c r="C15" s="192"/>
      <c r="D15" s="192"/>
      <c r="E15" s="198"/>
      <c r="F15" s="192"/>
      <c r="G15" s="192"/>
      <c r="H15" s="155" t="s">
        <v>128</v>
      </c>
      <c r="I15" s="156" t="s">
        <v>10</v>
      </c>
      <c r="J15" s="154">
        <v>1063</v>
      </c>
      <c r="K15" s="154">
        <v>1134</v>
      </c>
      <c r="L15" s="120">
        <v>0</v>
      </c>
      <c r="M15" s="120">
        <v>0</v>
      </c>
      <c r="N15" s="27">
        <v>1134</v>
      </c>
      <c r="O15" s="27">
        <v>1130</v>
      </c>
      <c r="P15" s="50">
        <f t="shared" si="1"/>
        <v>0.99647266313932981</v>
      </c>
      <c r="Q15" s="133">
        <f t="shared" si="4"/>
        <v>1130</v>
      </c>
      <c r="R15" s="50">
        <f t="shared" si="3"/>
        <v>0.99647266313932981</v>
      </c>
      <c r="S15" s="27" t="s">
        <v>259</v>
      </c>
      <c r="T15" s="133" t="s">
        <v>259</v>
      </c>
      <c r="U15" s="50">
        <v>1</v>
      </c>
      <c r="V15" s="133">
        <f>Q15</f>
        <v>1130</v>
      </c>
      <c r="W15" s="50">
        <f t="shared" si="2"/>
        <v>0.99647266313932981</v>
      </c>
      <c r="X15" s="27">
        <v>0</v>
      </c>
      <c r="Y15" s="27" t="s">
        <v>259</v>
      </c>
      <c r="Z15" s="177" t="s">
        <v>259</v>
      </c>
      <c r="AA15" s="74" t="s">
        <v>259</v>
      </c>
      <c r="AB15" s="174">
        <f>W15</f>
        <v>0.99647266313932981</v>
      </c>
      <c r="AC15" s="170" t="s">
        <v>400</v>
      </c>
    </row>
    <row r="16" spans="1:29" s="20" customFormat="1" ht="120" customHeight="1" x14ac:dyDescent="0.25">
      <c r="A16" s="193"/>
      <c r="B16" s="192"/>
      <c r="C16" s="192"/>
      <c r="D16" s="192">
        <v>3</v>
      </c>
      <c r="E16" s="196" t="s">
        <v>275</v>
      </c>
      <c r="F16" s="192">
        <v>3</v>
      </c>
      <c r="G16" s="192" t="s">
        <v>276</v>
      </c>
      <c r="H16" s="155" t="s">
        <v>378</v>
      </c>
      <c r="I16" s="156" t="s">
        <v>383</v>
      </c>
      <c r="J16" s="154">
        <v>11</v>
      </c>
      <c r="K16" s="154">
        <v>24</v>
      </c>
      <c r="L16" s="154">
        <v>16</v>
      </c>
      <c r="M16" s="18">
        <v>17</v>
      </c>
      <c r="N16" s="18">
        <v>21</v>
      </c>
      <c r="O16" s="18">
        <v>21</v>
      </c>
      <c r="P16" s="50">
        <f t="shared" si="1"/>
        <v>1</v>
      </c>
      <c r="Q16" s="133">
        <f t="shared" si="4"/>
        <v>21</v>
      </c>
      <c r="R16" s="50">
        <f t="shared" si="3"/>
        <v>0.875</v>
      </c>
      <c r="S16" s="18">
        <v>22</v>
      </c>
      <c r="T16" s="133">
        <v>34</v>
      </c>
      <c r="U16" s="50">
        <f>T16/S16</f>
        <v>1.5454545454545454</v>
      </c>
      <c r="V16" s="133">
        <f>T16</f>
        <v>34</v>
      </c>
      <c r="W16" s="50">
        <f t="shared" si="2"/>
        <v>1.4166666666666667</v>
      </c>
      <c r="X16" s="18">
        <v>24</v>
      </c>
      <c r="Y16" s="18">
        <v>34</v>
      </c>
      <c r="Z16" s="131">
        <f>Y16/X16</f>
        <v>1.4166666666666667</v>
      </c>
      <c r="AA16" s="160">
        <f>Y16</f>
        <v>34</v>
      </c>
      <c r="AB16" s="176">
        <f>AA16/K16</f>
        <v>1.4166666666666667</v>
      </c>
      <c r="AC16" s="170" t="s">
        <v>436</v>
      </c>
    </row>
    <row r="17" spans="1:31" s="20" customFormat="1" ht="120" customHeight="1" x14ac:dyDescent="0.25">
      <c r="A17" s="193"/>
      <c r="B17" s="192"/>
      <c r="C17" s="192"/>
      <c r="D17" s="192"/>
      <c r="E17" s="196"/>
      <c r="F17" s="192"/>
      <c r="G17" s="192"/>
      <c r="H17" s="155" t="s">
        <v>14</v>
      </c>
      <c r="I17" s="156" t="s">
        <v>383</v>
      </c>
      <c r="J17" s="154">
        <v>7</v>
      </c>
      <c r="K17" s="154">
        <v>40</v>
      </c>
      <c r="L17" s="154">
        <v>8</v>
      </c>
      <c r="M17" s="18">
        <v>10</v>
      </c>
      <c r="N17" s="18">
        <v>24</v>
      </c>
      <c r="O17" s="18">
        <v>22</v>
      </c>
      <c r="P17" s="50">
        <f t="shared" si="1"/>
        <v>0.91666666666666663</v>
      </c>
      <c r="Q17" s="133">
        <f t="shared" si="4"/>
        <v>22</v>
      </c>
      <c r="R17" s="50">
        <f t="shared" si="3"/>
        <v>0.55000000000000004</v>
      </c>
      <c r="S17" s="18">
        <v>32</v>
      </c>
      <c r="T17" s="133">
        <v>32</v>
      </c>
      <c r="U17" s="50">
        <f>T17/S17</f>
        <v>1</v>
      </c>
      <c r="V17" s="133">
        <f>T17</f>
        <v>32</v>
      </c>
      <c r="W17" s="50">
        <f t="shared" si="2"/>
        <v>0.8</v>
      </c>
      <c r="X17" s="18">
        <v>40</v>
      </c>
      <c r="Y17" s="18">
        <v>0</v>
      </c>
      <c r="Z17" s="131">
        <f>Y17/X17</f>
        <v>0</v>
      </c>
      <c r="AA17" s="160">
        <f>V17</f>
        <v>32</v>
      </c>
      <c r="AB17" s="176">
        <f>AA17/K17</f>
        <v>0.8</v>
      </c>
      <c r="AC17" s="170" t="s">
        <v>437</v>
      </c>
    </row>
    <row r="18" spans="1:31" s="20" customFormat="1" ht="210" x14ac:dyDescent="0.25">
      <c r="A18" s="193"/>
      <c r="B18" s="192"/>
      <c r="C18" s="192"/>
      <c r="D18" s="192"/>
      <c r="E18" s="196"/>
      <c r="F18" s="192"/>
      <c r="G18" s="192"/>
      <c r="H18" s="155" t="s">
        <v>377</v>
      </c>
      <c r="I18" s="156" t="s">
        <v>12</v>
      </c>
      <c r="J18" s="154" t="s">
        <v>279</v>
      </c>
      <c r="K18" s="154">
        <v>1</v>
      </c>
      <c r="L18" s="154">
        <v>0</v>
      </c>
      <c r="M18" s="18">
        <v>0</v>
      </c>
      <c r="N18" s="18">
        <v>1</v>
      </c>
      <c r="O18" s="18">
        <v>1</v>
      </c>
      <c r="P18" s="50">
        <f t="shared" si="1"/>
        <v>1</v>
      </c>
      <c r="Q18" s="133">
        <f t="shared" si="4"/>
        <v>1</v>
      </c>
      <c r="R18" s="50">
        <f t="shared" si="3"/>
        <v>1</v>
      </c>
      <c r="S18" s="18">
        <v>0</v>
      </c>
      <c r="T18" s="133">
        <v>0</v>
      </c>
      <c r="U18" s="50">
        <f>P18</f>
        <v>1</v>
      </c>
      <c r="V18" s="133">
        <f>Q18</f>
        <v>1</v>
      </c>
      <c r="W18" s="50">
        <f t="shared" si="2"/>
        <v>1</v>
      </c>
      <c r="X18" s="18">
        <v>0</v>
      </c>
      <c r="Y18" s="18" t="s">
        <v>259</v>
      </c>
      <c r="Z18" s="177" t="s">
        <v>259</v>
      </c>
      <c r="AA18" s="160">
        <f>V18</f>
        <v>1</v>
      </c>
      <c r="AB18" s="176">
        <f>W18</f>
        <v>1</v>
      </c>
      <c r="AC18" s="170" t="s">
        <v>453</v>
      </c>
    </row>
    <row r="19" spans="1:31" s="20" customFormat="1" ht="120" customHeight="1" x14ac:dyDescent="0.25">
      <c r="A19" s="193"/>
      <c r="B19" s="192"/>
      <c r="C19" s="192"/>
      <c r="D19" s="192">
        <v>4</v>
      </c>
      <c r="E19" s="198" t="s">
        <v>280</v>
      </c>
      <c r="F19" s="192">
        <v>4</v>
      </c>
      <c r="G19" s="154" t="s">
        <v>281</v>
      </c>
      <c r="H19" s="155" t="s">
        <v>384</v>
      </c>
      <c r="I19" s="156" t="s">
        <v>3</v>
      </c>
      <c r="J19" s="154" t="s">
        <v>260</v>
      </c>
      <c r="K19" s="154">
        <v>17</v>
      </c>
      <c r="L19" s="154">
        <v>3</v>
      </c>
      <c r="M19" s="18">
        <v>7</v>
      </c>
      <c r="N19" s="18">
        <v>3</v>
      </c>
      <c r="O19" s="18">
        <v>2</v>
      </c>
      <c r="P19" s="50">
        <f t="shared" si="1"/>
        <v>0.66666666666666663</v>
      </c>
      <c r="Q19" s="133">
        <f>O19+M19</f>
        <v>9</v>
      </c>
      <c r="R19" s="50">
        <f t="shared" si="3"/>
        <v>0.52941176470588236</v>
      </c>
      <c r="S19" s="18">
        <v>11</v>
      </c>
      <c r="T19" s="133">
        <v>3</v>
      </c>
      <c r="U19" s="50">
        <f>T19/S19</f>
        <v>0.27272727272727271</v>
      </c>
      <c r="V19" s="133">
        <f>T19+Q19</f>
        <v>12</v>
      </c>
      <c r="W19" s="50">
        <f t="shared" si="2"/>
        <v>0.70588235294117652</v>
      </c>
      <c r="X19" s="18">
        <v>0</v>
      </c>
      <c r="Y19" s="18">
        <v>5</v>
      </c>
      <c r="Z19" s="177" t="s">
        <v>259</v>
      </c>
      <c r="AA19" s="160">
        <f>Y19+V19</f>
        <v>17</v>
      </c>
      <c r="AB19" s="176">
        <f t="shared" ref="AB19:AB31" si="5">AA19/K19</f>
        <v>1</v>
      </c>
      <c r="AC19" s="170" t="s">
        <v>427</v>
      </c>
    </row>
    <row r="20" spans="1:31" s="20" customFormat="1" ht="120" customHeight="1" x14ac:dyDescent="0.25">
      <c r="A20" s="193"/>
      <c r="B20" s="192"/>
      <c r="C20" s="192"/>
      <c r="D20" s="192"/>
      <c r="E20" s="198"/>
      <c r="F20" s="192"/>
      <c r="G20" s="154" t="s">
        <v>281</v>
      </c>
      <c r="H20" s="155" t="s">
        <v>16</v>
      </c>
      <c r="I20" s="156" t="s">
        <v>3</v>
      </c>
      <c r="J20" s="154" t="s">
        <v>260</v>
      </c>
      <c r="K20" s="154">
        <v>71</v>
      </c>
      <c r="L20" s="154">
        <v>0</v>
      </c>
      <c r="M20" s="18">
        <v>4</v>
      </c>
      <c r="N20" s="18">
        <v>25</v>
      </c>
      <c r="O20" s="18">
        <v>39</v>
      </c>
      <c r="P20" s="50">
        <f t="shared" si="1"/>
        <v>1.56</v>
      </c>
      <c r="Q20" s="133">
        <f>O20+M20</f>
        <v>43</v>
      </c>
      <c r="R20" s="50">
        <f t="shared" si="3"/>
        <v>0.60563380281690138</v>
      </c>
      <c r="S20" s="18">
        <v>46</v>
      </c>
      <c r="T20" s="133">
        <v>44</v>
      </c>
      <c r="U20" s="50">
        <f>T20/S20</f>
        <v>0.95652173913043481</v>
      </c>
      <c r="V20" s="133">
        <f>T20+Q20</f>
        <v>87</v>
      </c>
      <c r="W20" s="50">
        <f t="shared" si="2"/>
        <v>1.2253521126760563</v>
      </c>
      <c r="X20" s="18" t="s">
        <v>259</v>
      </c>
      <c r="Y20" s="18" t="s">
        <v>259</v>
      </c>
      <c r="Z20" s="177" t="s">
        <v>259</v>
      </c>
      <c r="AA20" s="160">
        <v>96</v>
      </c>
      <c r="AB20" s="176">
        <f t="shared" si="5"/>
        <v>1.352112676056338</v>
      </c>
      <c r="AC20" s="170" t="s">
        <v>428</v>
      </c>
    </row>
    <row r="21" spans="1:31" s="20" customFormat="1" ht="120" customHeight="1" x14ac:dyDescent="0.25">
      <c r="A21" s="193"/>
      <c r="B21" s="192"/>
      <c r="C21" s="192"/>
      <c r="D21" s="154">
        <v>5</v>
      </c>
      <c r="E21" s="155" t="s">
        <v>17</v>
      </c>
      <c r="F21" s="154">
        <v>5</v>
      </c>
      <c r="G21" s="154" t="s">
        <v>283</v>
      </c>
      <c r="H21" s="155" t="s">
        <v>18</v>
      </c>
      <c r="I21" s="156" t="s">
        <v>124</v>
      </c>
      <c r="J21" s="49">
        <v>1</v>
      </c>
      <c r="K21" s="49">
        <v>1</v>
      </c>
      <c r="L21" s="49">
        <v>1</v>
      </c>
      <c r="M21" s="21">
        <v>0.56000000000000005</v>
      </c>
      <c r="N21" s="21">
        <v>1</v>
      </c>
      <c r="O21" s="21">
        <v>1</v>
      </c>
      <c r="P21" s="50">
        <f t="shared" si="1"/>
        <v>1</v>
      </c>
      <c r="Q21" s="50">
        <f t="shared" ref="Q21:Q31" si="6">O21</f>
        <v>1</v>
      </c>
      <c r="R21" s="50">
        <f t="shared" si="3"/>
        <v>1</v>
      </c>
      <c r="S21" s="21">
        <v>1</v>
      </c>
      <c r="T21" s="50">
        <v>1</v>
      </c>
      <c r="U21" s="50">
        <f>T21/S21</f>
        <v>1</v>
      </c>
      <c r="V21" s="50">
        <f t="shared" ref="V21:V31" si="7">T21</f>
        <v>1</v>
      </c>
      <c r="W21" s="50">
        <f t="shared" si="2"/>
        <v>1</v>
      </c>
      <c r="X21" s="21">
        <v>1</v>
      </c>
      <c r="Y21" s="21">
        <v>0.19</v>
      </c>
      <c r="Z21" s="179">
        <f>Y21/X21</f>
        <v>0.19</v>
      </c>
      <c r="AA21" s="164">
        <f>Y21</f>
        <v>0.19</v>
      </c>
      <c r="AB21" s="174">
        <f t="shared" si="5"/>
        <v>0.19</v>
      </c>
      <c r="AC21" s="170" t="s">
        <v>452</v>
      </c>
    </row>
    <row r="22" spans="1:31" s="20" customFormat="1" ht="120" customHeight="1" x14ac:dyDescent="0.25">
      <c r="A22" s="220">
        <v>3</v>
      </c>
      <c r="B22" s="221" t="s">
        <v>19</v>
      </c>
      <c r="C22" s="192" t="s">
        <v>256</v>
      </c>
      <c r="D22" s="192">
        <v>1</v>
      </c>
      <c r="E22" s="198" t="s">
        <v>284</v>
      </c>
      <c r="F22" s="192">
        <v>1</v>
      </c>
      <c r="G22" s="192" t="s">
        <v>285</v>
      </c>
      <c r="H22" s="155" t="s">
        <v>134</v>
      </c>
      <c r="I22" s="156" t="s">
        <v>133</v>
      </c>
      <c r="J22" s="154">
        <v>3.8</v>
      </c>
      <c r="K22" s="154">
        <v>4.2</v>
      </c>
      <c r="L22" s="154" t="s">
        <v>259</v>
      </c>
      <c r="M22" s="18">
        <v>0</v>
      </c>
      <c r="N22" s="30">
        <v>4</v>
      </c>
      <c r="O22" s="30">
        <v>3.8</v>
      </c>
      <c r="P22" s="50">
        <f t="shared" si="1"/>
        <v>0.95</v>
      </c>
      <c r="Q22" s="30">
        <f t="shared" si="6"/>
        <v>3.8</v>
      </c>
      <c r="R22" s="50">
        <f t="shared" si="3"/>
        <v>0.90476190476190466</v>
      </c>
      <c r="S22" s="30" t="s">
        <v>259</v>
      </c>
      <c r="T22" s="30">
        <f>Q22</f>
        <v>3.8</v>
      </c>
      <c r="U22" s="50">
        <f t="shared" ref="U22:U23" si="8">T22/K22</f>
        <v>0.90476190476190466</v>
      </c>
      <c r="V22" s="30">
        <f t="shared" si="7"/>
        <v>3.8</v>
      </c>
      <c r="W22" s="50">
        <f t="shared" si="2"/>
        <v>0.90476190476190466</v>
      </c>
      <c r="X22" s="18">
        <v>4.2</v>
      </c>
      <c r="Y22" s="18" t="s">
        <v>259</v>
      </c>
      <c r="Z22" s="177" t="s">
        <v>259</v>
      </c>
      <c r="AA22" s="151">
        <f>T22</f>
        <v>3.8</v>
      </c>
      <c r="AB22" s="129">
        <f t="shared" si="5"/>
        <v>0.90476190476190466</v>
      </c>
      <c r="AC22" s="222" t="s">
        <v>414</v>
      </c>
    </row>
    <row r="23" spans="1:31" s="20" customFormat="1" ht="120" customHeight="1" x14ac:dyDescent="0.25">
      <c r="A23" s="220"/>
      <c r="B23" s="221"/>
      <c r="C23" s="192"/>
      <c r="D23" s="192"/>
      <c r="E23" s="198"/>
      <c r="F23" s="192"/>
      <c r="G23" s="192"/>
      <c r="H23" s="155" t="s">
        <v>287</v>
      </c>
      <c r="I23" s="156" t="s">
        <v>133</v>
      </c>
      <c r="J23" s="154">
        <v>4.2</v>
      </c>
      <c r="K23" s="154">
        <v>4.4000000000000004</v>
      </c>
      <c r="L23" s="154" t="s">
        <v>259</v>
      </c>
      <c r="M23" s="18">
        <v>0</v>
      </c>
      <c r="N23" s="30">
        <v>4.3</v>
      </c>
      <c r="O23" s="30">
        <v>3.9</v>
      </c>
      <c r="P23" s="50">
        <f t="shared" si="1"/>
        <v>0.90697674418604657</v>
      </c>
      <c r="Q23" s="30">
        <f t="shared" si="6"/>
        <v>3.9</v>
      </c>
      <c r="R23" s="50">
        <f t="shared" si="3"/>
        <v>0.88636363636363624</v>
      </c>
      <c r="S23" s="30" t="s">
        <v>279</v>
      </c>
      <c r="T23" s="30">
        <f>Q23</f>
        <v>3.9</v>
      </c>
      <c r="U23" s="50">
        <f t="shared" si="8"/>
        <v>0.88636363636363624</v>
      </c>
      <c r="V23" s="30">
        <f t="shared" si="7"/>
        <v>3.9</v>
      </c>
      <c r="W23" s="50">
        <f>V23/K23</f>
        <v>0.88636363636363624</v>
      </c>
      <c r="X23" s="18">
        <v>4.4000000000000004</v>
      </c>
      <c r="Y23" s="18" t="s">
        <v>259</v>
      </c>
      <c r="Z23" s="177" t="s">
        <v>259</v>
      </c>
      <c r="AA23" s="151">
        <f>T23</f>
        <v>3.9</v>
      </c>
      <c r="AB23" s="129">
        <f t="shared" si="5"/>
        <v>0.88636363636363624</v>
      </c>
      <c r="AC23" s="222" t="s">
        <v>415</v>
      </c>
    </row>
    <row r="24" spans="1:31" s="20" customFormat="1" ht="120" x14ac:dyDescent="0.25">
      <c r="A24" s="220"/>
      <c r="B24" s="221"/>
      <c r="C24" s="192"/>
      <c r="D24" s="192"/>
      <c r="E24" s="198"/>
      <c r="F24" s="192"/>
      <c r="G24" s="192"/>
      <c r="H24" s="155" t="s">
        <v>21</v>
      </c>
      <c r="I24" s="156" t="s">
        <v>133</v>
      </c>
      <c r="J24" s="54">
        <v>1300</v>
      </c>
      <c r="K24" s="54">
        <v>7300</v>
      </c>
      <c r="L24" s="54">
        <v>2800</v>
      </c>
      <c r="M24" s="26">
        <v>2800</v>
      </c>
      <c r="N24" s="26">
        <v>4300</v>
      </c>
      <c r="O24" s="26">
        <v>4300</v>
      </c>
      <c r="P24" s="50">
        <f t="shared" si="1"/>
        <v>1</v>
      </c>
      <c r="Q24" s="26">
        <f t="shared" si="6"/>
        <v>4300</v>
      </c>
      <c r="R24" s="50">
        <f t="shared" si="3"/>
        <v>0.58904109589041098</v>
      </c>
      <c r="S24" s="26">
        <v>5800</v>
      </c>
      <c r="T24" s="26">
        <v>6197</v>
      </c>
      <c r="U24" s="50">
        <f>(T24-J24)/(S24-J24)</f>
        <v>1.0882222222222222</v>
      </c>
      <c r="V24" s="26">
        <f t="shared" si="7"/>
        <v>6197</v>
      </c>
      <c r="W24" s="50">
        <f>(V24-J24)/(K24-J24)</f>
        <v>0.81616666666666671</v>
      </c>
      <c r="X24" s="26">
        <v>7300</v>
      </c>
      <c r="Y24" s="26">
        <v>7300</v>
      </c>
      <c r="Z24" s="129">
        <f>Y24/X24</f>
        <v>1</v>
      </c>
      <c r="AA24" s="26">
        <f>Y24</f>
        <v>7300</v>
      </c>
      <c r="AB24" s="129">
        <f t="shared" si="5"/>
        <v>1</v>
      </c>
      <c r="AC24" s="170" t="s">
        <v>417</v>
      </c>
    </row>
    <row r="25" spans="1:31" s="20" customFormat="1" ht="120" customHeight="1" x14ac:dyDescent="0.25">
      <c r="A25" s="220"/>
      <c r="B25" s="221"/>
      <c r="C25" s="192"/>
      <c r="D25" s="192"/>
      <c r="E25" s="198"/>
      <c r="F25" s="192"/>
      <c r="G25" s="192"/>
      <c r="H25" s="155" t="s">
        <v>288</v>
      </c>
      <c r="I25" s="156" t="s">
        <v>124</v>
      </c>
      <c r="J25" s="54">
        <v>970000</v>
      </c>
      <c r="K25" s="54">
        <v>4555000</v>
      </c>
      <c r="L25" s="54">
        <v>750000</v>
      </c>
      <c r="M25" s="26">
        <v>1700038</v>
      </c>
      <c r="N25" s="26">
        <v>2955000</v>
      </c>
      <c r="O25" s="26">
        <v>2980751</v>
      </c>
      <c r="P25" s="50">
        <f t="shared" si="1"/>
        <v>1.0087143824027072</v>
      </c>
      <c r="Q25" s="26">
        <f t="shared" si="6"/>
        <v>2980751</v>
      </c>
      <c r="R25" s="50">
        <f t="shared" si="3"/>
        <v>0.65439099890230512</v>
      </c>
      <c r="S25" s="26">
        <v>3755000</v>
      </c>
      <c r="T25" s="26">
        <v>4018841</v>
      </c>
      <c r="U25" s="50">
        <f>T25/S25</f>
        <v>1.070263914780293</v>
      </c>
      <c r="V25" s="26">
        <f t="shared" si="7"/>
        <v>4018841</v>
      </c>
      <c r="W25" s="50">
        <f>V25/K25</f>
        <v>0.88229220636663008</v>
      </c>
      <c r="X25" s="26">
        <v>4555000</v>
      </c>
      <c r="Y25" s="26">
        <v>4469601</v>
      </c>
      <c r="Z25" s="131">
        <f>Y25/X25</f>
        <v>0.98125159165751918</v>
      </c>
      <c r="AA25" s="152">
        <f>Y25</f>
        <v>4469601</v>
      </c>
      <c r="AB25" s="174">
        <f t="shared" si="5"/>
        <v>0.98125159165751918</v>
      </c>
      <c r="AC25" s="170" t="s">
        <v>426</v>
      </c>
    </row>
    <row r="26" spans="1:31" s="20" customFormat="1" ht="120" customHeight="1" x14ac:dyDescent="0.25">
      <c r="A26" s="220"/>
      <c r="B26" s="221"/>
      <c r="C26" s="192"/>
      <c r="D26" s="192"/>
      <c r="E26" s="198"/>
      <c r="F26" s="192"/>
      <c r="G26" s="192"/>
      <c r="H26" s="155" t="s">
        <v>290</v>
      </c>
      <c r="I26" s="156" t="s">
        <v>133</v>
      </c>
      <c r="J26" s="54" t="s">
        <v>259</v>
      </c>
      <c r="K26" s="54">
        <v>1100</v>
      </c>
      <c r="L26" s="54">
        <v>543</v>
      </c>
      <c r="M26" s="26">
        <v>543</v>
      </c>
      <c r="N26" s="26">
        <v>730</v>
      </c>
      <c r="O26" s="26">
        <v>730</v>
      </c>
      <c r="P26" s="50">
        <f t="shared" si="1"/>
        <v>1</v>
      </c>
      <c r="Q26" s="26">
        <f t="shared" si="6"/>
        <v>730</v>
      </c>
      <c r="R26" s="50">
        <f t="shared" si="3"/>
        <v>0.66363636363636369</v>
      </c>
      <c r="S26" s="26">
        <v>915</v>
      </c>
      <c r="T26" s="26">
        <f>Q26+185</f>
        <v>915</v>
      </c>
      <c r="U26" s="50">
        <f>T26/S26</f>
        <v>1</v>
      </c>
      <c r="V26" s="26">
        <f t="shared" si="7"/>
        <v>915</v>
      </c>
      <c r="W26" s="50">
        <f>V26/K26</f>
        <v>0.83181818181818179</v>
      </c>
      <c r="X26" s="26">
        <v>1100</v>
      </c>
      <c r="Y26" s="26">
        <f>V26+26</f>
        <v>941</v>
      </c>
      <c r="Z26" s="129">
        <f>Y26/X26</f>
        <v>0.85545454545454547</v>
      </c>
      <c r="AA26" s="152">
        <f>Y26</f>
        <v>941</v>
      </c>
      <c r="AB26" s="129">
        <f>AA26/K26</f>
        <v>0.85545454545454547</v>
      </c>
      <c r="AC26" s="170" t="s">
        <v>440</v>
      </c>
    </row>
    <row r="27" spans="1:31" s="20" customFormat="1" ht="120" customHeight="1" x14ac:dyDescent="0.25">
      <c r="A27" s="220"/>
      <c r="B27" s="221"/>
      <c r="C27" s="192"/>
      <c r="D27" s="192">
        <v>2</v>
      </c>
      <c r="E27" s="196" t="s">
        <v>23</v>
      </c>
      <c r="F27" s="192">
        <v>2</v>
      </c>
      <c r="G27" s="192" t="s">
        <v>292</v>
      </c>
      <c r="H27" s="155" t="s">
        <v>293</v>
      </c>
      <c r="I27" s="156" t="s">
        <v>5</v>
      </c>
      <c r="J27" s="54">
        <v>8</v>
      </c>
      <c r="K27" s="54">
        <v>32</v>
      </c>
      <c r="L27" s="54">
        <v>16</v>
      </c>
      <c r="M27" s="26">
        <v>16</v>
      </c>
      <c r="N27" s="26">
        <v>24</v>
      </c>
      <c r="O27" s="26">
        <v>45</v>
      </c>
      <c r="P27" s="50">
        <f t="shared" si="1"/>
        <v>1.875</v>
      </c>
      <c r="Q27" s="26">
        <f t="shared" si="6"/>
        <v>45</v>
      </c>
      <c r="R27" s="50">
        <f t="shared" si="3"/>
        <v>1.40625</v>
      </c>
      <c r="S27" s="26">
        <v>29</v>
      </c>
      <c r="T27" s="26">
        <f>Q27+56</f>
        <v>101</v>
      </c>
      <c r="U27" s="50">
        <f>T27/S27</f>
        <v>3.4827586206896552</v>
      </c>
      <c r="V27" s="26">
        <f t="shared" si="7"/>
        <v>101</v>
      </c>
      <c r="W27" s="50">
        <f>V27/K27</f>
        <v>3.15625</v>
      </c>
      <c r="X27" s="26" t="s">
        <v>259</v>
      </c>
      <c r="Y27" s="26" t="s">
        <v>259</v>
      </c>
      <c r="Z27" s="129" t="s">
        <v>259</v>
      </c>
      <c r="AA27" s="152">
        <f>V27</f>
        <v>101</v>
      </c>
      <c r="AB27" s="129">
        <f t="shared" si="5"/>
        <v>3.15625</v>
      </c>
      <c r="AC27" s="170" t="s">
        <v>412</v>
      </c>
    </row>
    <row r="28" spans="1:31" s="20" customFormat="1" ht="120" customHeight="1" x14ac:dyDescent="0.25">
      <c r="A28" s="220"/>
      <c r="B28" s="221"/>
      <c r="C28" s="192"/>
      <c r="D28" s="192"/>
      <c r="E28" s="196"/>
      <c r="F28" s="192"/>
      <c r="G28" s="192"/>
      <c r="H28" s="155" t="s">
        <v>24</v>
      </c>
      <c r="I28" s="156" t="s">
        <v>6</v>
      </c>
      <c r="J28" s="54">
        <v>2048</v>
      </c>
      <c r="K28" s="54">
        <v>14296</v>
      </c>
      <c r="L28" s="54">
        <v>4251</v>
      </c>
      <c r="M28" s="26">
        <v>4664</v>
      </c>
      <c r="N28" s="26">
        <v>6571</v>
      </c>
      <c r="O28" s="26">
        <v>7943</v>
      </c>
      <c r="P28" s="50">
        <f t="shared" si="1"/>
        <v>1.2087962258408158</v>
      </c>
      <c r="Q28" s="26">
        <f t="shared" si="6"/>
        <v>7943</v>
      </c>
      <c r="R28" s="50">
        <f t="shared" si="3"/>
        <v>0.55560996082820369</v>
      </c>
      <c r="S28" s="26">
        <v>11734</v>
      </c>
      <c r="T28" s="26">
        <v>13037</v>
      </c>
      <c r="U28" s="50">
        <f>(T28-J28)/(S28-J28)</f>
        <v>1.1345240553376006</v>
      </c>
      <c r="V28" s="26">
        <f t="shared" si="7"/>
        <v>13037</v>
      </c>
      <c r="W28" s="50">
        <f>(V28-J28)/(K28-J28)</f>
        <v>0.89720770738079691</v>
      </c>
      <c r="X28" s="26">
        <v>14296</v>
      </c>
      <c r="Y28" s="26">
        <v>14296</v>
      </c>
      <c r="Z28" s="129">
        <f>Y28/X28</f>
        <v>1</v>
      </c>
      <c r="AA28" s="26">
        <f>Y28</f>
        <v>14296</v>
      </c>
      <c r="AB28" s="129">
        <f t="shared" si="5"/>
        <v>1</v>
      </c>
      <c r="AC28" s="170" t="s">
        <v>419</v>
      </c>
    </row>
    <row r="29" spans="1:31" s="20" customFormat="1" ht="120" customHeight="1" x14ac:dyDescent="0.25">
      <c r="A29" s="220"/>
      <c r="B29" s="221"/>
      <c r="C29" s="192"/>
      <c r="D29" s="192"/>
      <c r="E29" s="196"/>
      <c r="F29" s="192"/>
      <c r="G29" s="192"/>
      <c r="H29" s="155" t="s">
        <v>295</v>
      </c>
      <c r="I29" s="156" t="s">
        <v>6</v>
      </c>
      <c r="J29" s="54">
        <v>162140</v>
      </c>
      <c r="K29" s="54">
        <v>250000</v>
      </c>
      <c r="L29" s="54">
        <v>201000</v>
      </c>
      <c r="M29" s="26">
        <v>187566</v>
      </c>
      <c r="N29" s="26">
        <v>211000</v>
      </c>
      <c r="O29" s="26">
        <v>212695</v>
      </c>
      <c r="P29" s="50">
        <f t="shared" si="1"/>
        <v>1.0080331753554503</v>
      </c>
      <c r="Q29" s="26">
        <f t="shared" si="6"/>
        <v>212695</v>
      </c>
      <c r="R29" s="50">
        <f t="shared" si="3"/>
        <v>0.85077999999999998</v>
      </c>
      <c r="S29" s="26">
        <v>231000</v>
      </c>
      <c r="T29" s="26">
        <v>243825</v>
      </c>
      <c r="U29" s="50">
        <f>(T29-J29)/(S29-J29)</f>
        <v>1.1862474586116758</v>
      </c>
      <c r="V29" s="26">
        <f t="shared" si="7"/>
        <v>243825</v>
      </c>
      <c r="W29" s="50">
        <f>(V29-J29)/(K29-J29)</f>
        <v>0.92971773275665837</v>
      </c>
      <c r="X29" s="26">
        <v>250000</v>
      </c>
      <c r="Y29" s="26">
        <v>262343</v>
      </c>
      <c r="Z29" s="129">
        <f>Y29/X29</f>
        <v>1.049372</v>
      </c>
      <c r="AA29" s="26">
        <f>Y29</f>
        <v>262343</v>
      </c>
      <c r="AB29" s="129">
        <f t="shared" si="5"/>
        <v>1.049372</v>
      </c>
      <c r="AC29" s="223" t="s">
        <v>420</v>
      </c>
      <c r="AD29" s="119"/>
      <c r="AE29" s="119"/>
    </row>
    <row r="30" spans="1:31" s="20" customFormat="1" ht="120" customHeight="1" x14ac:dyDescent="0.25">
      <c r="A30" s="220"/>
      <c r="B30" s="221"/>
      <c r="C30" s="192"/>
      <c r="D30" s="192"/>
      <c r="E30" s="196"/>
      <c r="F30" s="192"/>
      <c r="G30" s="192"/>
      <c r="H30" s="155" t="s">
        <v>296</v>
      </c>
      <c r="I30" s="156" t="s">
        <v>382</v>
      </c>
      <c r="J30" s="154">
        <v>217</v>
      </c>
      <c r="K30" s="154">
        <v>317</v>
      </c>
      <c r="L30" s="154">
        <v>4</v>
      </c>
      <c r="M30" s="18">
        <v>16</v>
      </c>
      <c r="N30" s="18">
        <v>76</v>
      </c>
      <c r="O30" s="18">
        <v>76</v>
      </c>
      <c r="P30" s="50">
        <f t="shared" si="1"/>
        <v>1</v>
      </c>
      <c r="Q30" s="133">
        <f t="shared" si="6"/>
        <v>76</v>
      </c>
      <c r="R30" s="50">
        <f t="shared" si="3"/>
        <v>0.23974763406940064</v>
      </c>
      <c r="S30" s="18">
        <v>150</v>
      </c>
      <c r="T30" s="26">
        <f>+Q30+167</f>
        <v>243</v>
      </c>
      <c r="U30" s="50">
        <f>T30/S30</f>
        <v>1.62</v>
      </c>
      <c r="V30" s="26">
        <f t="shared" si="7"/>
        <v>243</v>
      </c>
      <c r="W30" s="50">
        <f t="shared" ref="W30:W39" si="9">V30/K30</f>
        <v>0.7665615141955836</v>
      </c>
      <c r="X30" s="18">
        <v>317</v>
      </c>
      <c r="Y30" s="18">
        <f>V30+58</f>
        <v>301</v>
      </c>
      <c r="Z30" s="129">
        <f>Y30/X30</f>
        <v>0.94952681388012616</v>
      </c>
      <c r="AA30" s="160">
        <f>Y30</f>
        <v>301</v>
      </c>
      <c r="AB30" s="129">
        <f t="shared" si="5"/>
        <v>0.94952681388012616</v>
      </c>
      <c r="AC30" s="170" t="s">
        <v>454</v>
      </c>
    </row>
    <row r="31" spans="1:31" s="20" customFormat="1" ht="120" customHeight="1" x14ac:dyDescent="0.25">
      <c r="A31" s="220"/>
      <c r="B31" s="221"/>
      <c r="C31" s="192"/>
      <c r="D31" s="192"/>
      <c r="E31" s="196"/>
      <c r="F31" s="192"/>
      <c r="G31" s="192"/>
      <c r="H31" s="155" t="s">
        <v>27</v>
      </c>
      <c r="I31" s="156" t="s">
        <v>382</v>
      </c>
      <c r="J31" s="154" t="s">
        <v>279</v>
      </c>
      <c r="K31" s="154">
        <v>41</v>
      </c>
      <c r="L31" s="154">
        <v>10</v>
      </c>
      <c r="M31" s="18">
        <v>10</v>
      </c>
      <c r="N31" s="18">
        <v>20</v>
      </c>
      <c r="O31" s="18">
        <v>20</v>
      </c>
      <c r="P31" s="50">
        <f t="shared" si="1"/>
        <v>1</v>
      </c>
      <c r="Q31" s="133">
        <f t="shared" si="6"/>
        <v>20</v>
      </c>
      <c r="R31" s="50">
        <f t="shared" si="3"/>
        <v>0.48780487804878048</v>
      </c>
      <c r="S31" s="18">
        <v>41</v>
      </c>
      <c r="T31" s="26">
        <f>Q31+21</f>
        <v>41</v>
      </c>
      <c r="U31" s="50">
        <f>T31/S31</f>
        <v>1</v>
      </c>
      <c r="V31" s="26">
        <f t="shared" si="7"/>
        <v>41</v>
      </c>
      <c r="W31" s="50">
        <f t="shared" si="9"/>
        <v>1</v>
      </c>
      <c r="X31" s="18">
        <v>41</v>
      </c>
      <c r="Y31" s="18">
        <f>V31</f>
        <v>41</v>
      </c>
      <c r="Z31" s="129">
        <f>Y31/X31</f>
        <v>1</v>
      </c>
      <c r="AA31" s="160">
        <f>Y31</f>
        <v>41</v>
      </c>
      <c r="AB31" s="129">
        <f t="shared" si="5"/>
        <v>1</v>
      </c>
      <c r="AC31" s="170" t="s">
        <v>412</v>
      </c>
    </row>
    <row r="32" spans="1:31" s="20" customFormat="1" ht="120" customHeight="1" x14ac:dyDescent="0.25">
      <c r="A32" s="220"/>
      <c r="B32" s="221"/>
      <c r="C32" s="192"/>
      <c r="D32" s="192"/>
      <c r="E32" s="196"/>
      <c r="F32" s="192"/>
      <c r="G32" s="192"/>
      <c r="H32" s="155" t="s">
        <v>376</v>
      </c>
      <c r="I32" s="156" t="s">
        <v>12</v>
      </c>
      <c r="J32" s="154" t="s">
        <v>279</v>
      </c>
      <c r="K32" s="154">
        <v>1</v>
      </c>
      <c r="L32" s="154">
        <v>1</v>
      </c>
      <c r="M32" s="18">
        <v>1</v>
      </c>
      <c r="N32" s="18">
        <v>0</v>
      </c>
      <c r="O32" s="18">
        <v>0</v>
      </c>
      <c r="P32" s="50" t="s">
        <v>259</v>
      </c>
      <c r="Q32" s="133">
        <f>M32</f>
        <v>1</v>
      </c>
      <c r="R32" s="50">
        <f t="shared" si="3"/>
        <v>1</v>
      </c>
      <c r="S32" s="18">
        <v>0</v>
      </c>
      <c r="T32" s="26" t="s">
        <v>259</v>
      </c>
      <c r="U32" s="50">
        <f>R32</f>
        <v>1</v>
      </c>
      <c r="V32" s="133">
        <f>Q32</f>
        <v>1</v>
      </c>
      <c r="W32" s="50">
        <f t="shared" si="9"/>
        <v>1</v>
      </c>
      <c r="X32" s="18">
        <v>0</v>
      </c>
      <c r="Y32" s="18" t="s">
        <v>259</v>
      </c>
      <c r="Z32" s="129" t="s">
        <v>259</v>
      </c>
      <c r="AA32" s="160">
        <f>V32</f>
        <v>1</v>
      </c>
      <c r="AB32" s="129">
        <f>W32</f>
        <v>1</v>
      </c>
      <c r="AC32" s="170" t="s">
        <v>410</v>
      </c>
    </row>
    <row r="33" spans="1:29" s="20" customFormat="1" ht="120" customHeight="1" x14ac:dyDescent="0.25">
      <c r="A33" s="220"/>
      <c r="B33" s="221"/>
      <c r="C33" s="192"/>
      <c r="D33" s="154">
        <v>3</v>
      </c>
      <c r="E33" s="155" t="s">
        <v>29</v>
      </c>
      <c r="F33" s="154">
        <v>3</v>
      </c>
      <c r="G33" s="154" t="s">
        <v>300</v>
      </c>
      <c r="H33" s="155" t="s">
        <v>30</v>
      </c>
      <c r="I33" s="156" t="s">
        <v>382</v>
      </c>
      <c r="J33" s="54">
        <v>1100000</v>
      </c>
      <c r="K33" s="54">
        <v>5700000</v>
      </c>
      <c r="L33" s="54">
        <v>2000000</v>
      </c>
      <c r="M33" s="26">
        <v>2211031</v>
      </c>
      <c r="N33" s="26">
        <v>3800000</v>
      </c>
      <c r="O33" s="26">
        <v>3836449</v>
      </c>
      <c r="P33" s="50">
        <f t="shared" si="1"/>
        <v>1.0095918421052632</v>
      </c>
      <c r="Q33" s="26">
        <f>O33</f>
        <v>3836449</v>
      </c>
      <c r="R33" s="50">
        <f t="shared" si="3"/>
        <v>0.67306122807017543</v>
      </c>
      <c r="S33" s="26">
        <v>4700000</v>
      </c>
      <c r="T33" s="26">
        <v>4705915</v>
      </c>
      <c r="U33" s="50">
        <f t="shared" ref="U33:U39" si="10">T33/S33</f>
        <v>1.0012585106382978</v>
      </c>
      <c r="V33" s="26">
        <f>T33</f>
        <v>4705915</v>
      </c>
      <c r="W33" s="50">
        <f t="shared" si="9"/>
        <v>0.82559912280701753</v>
      </c>
      <c r="X33" s="26">
        <v>5700000</v>
      </c>
      <c r="Y33" s="26">
        <f>V33+347297</f>
        <v>5053212</v>
      </c>
      <c r="Z33" s="129">
        <f>Y33/X33</f>
        <v>0.88652842105263163</v>
      </c>
      <c r="AA33" s="150">
        <f>Y33</f>
        <v>5053212</v>
      </c>
      <c r="AB33" s="129">
        <f t="shared" ref="AB33:AB49" si="11">AA33/K33</f>
        <v>0.88652842105263163</v>
      </c>
      <c r="AC33" s="170" t="s">
        <v>455</v>
      </c>
    </row>
    <row r="34" spans="1:29" s="20" customFormat="1" ht="120" customHeight="1" x14ac:dyDescent="0.25">
      <c r="A34" s="220"/>
      <c r="B34" s="221"/>
      <c r="C34" s="192"/>
      <c r="D34" s="192">
        <v>4</v>
      </c>
      <c r="E34" s="198" t="s">
        <v>31</v>
      </c>
      <c r="F34" s="192">
        <v>4</v>
      </c>
      <c r="G34" s="192" t="s">
        <v>302</v>
      </c>
      <c r="H34" s="155" t="s">
        <v>132</v>
      </c>
      <c r="I34" s="156" t="s">
        <v>382</v>
      </c>
      <c r="J34" s="54" t="s">
        <v>259</v>
      </c>
      <c r="K34" s="54">
        <v>1000</v>
      </c>
      <c r="L34" s="154">
        <v>250</v>
      </c>
      <c r="M34" s="18">
        <v>256</v>
      </c>
      <c r="N34" s="18">
        <v>250</v>
      </c>
      <c r="O34" s="18">
        <v>377</v>
      </c>
      <c r="P34" s="50">
        <f t="shared" si="1"/>
        <v>1.508</v>
      </c>
      <c r="Q34" s="133">
        <f>O34+M34</f>
        <v>633</v>
      </c>
      <c r="R34" s="50">
        <f t="shared" si="3"/>
        <v>0.63300000000000001</v>
      </c>
      <c r="S34" s="18">
        <v>250</v>
      </c>
      <c r="T34" s="26">
        <v>308</v>
      </c>
      <c r="U34" s="50">
        <f t="shared" si="10"/>
        <v>1.232</v>
      </c>
      <c r="V34" s="26">
        <f>T34+Q34</f>
        <v>941</v>
      </c>
      <c r="W34" s="50">
        <f t="shared" si="9"/>
        <v>0.94099999999999995</v>
      </c>
      <c r="X34" s="18">
        <v>250</v>
      </c>
      <c r="Y34" s="18">
        <v>0</v>
      </c>
      <c r="Z34" s="129">
        <f>Y34/X34</f>
        <v>0</v>
      </c>
      <c r="AA34" s="152">
        <f>V34</f>
        <v>941</v>
      </c>
      <c r="AB34" s="129">
        <f t="shared" si="11"/>
        <v>0.94099999999999995</v>
      </c>
      <c r="AC34" s="170" t="s">
        <v>429</v>
      </c>
    </row>
    <row r="35" spans="1:29" s="20" customFormat="1" ht="120" customHeight="1" x14ac:dyDescent="0.25">
      <c r="A35" s="220"/>
      <c r="B35" s="221"/>
      <c r="C35" s="192"/>
      <c r="D35" s="192"/>
      <c r="E35" s="198"/>
      <c r="F35" s="192"/>
      <c r="G35" s="192"/>
      <c r="H35" s="155" t="s">
        <v>303</v>
      </c>
      <c r="I35" s="156" t="s">
        <v>32</v>
      </c>
      <c r="J35" s="54">
        <v>40</v>
      </c>
      <c r="K35" s="54">
        <v>200</v>
      </c>
      <c r="L35" s="54">
        <v>80</v>
      </c>
      <c r="M35" s="26">
        <v>104</v>
      </c>
      <c r="N35" s="26">
        <v>120</v>
      </c>
      <c r="O35" s="26">
        <v>125</v>
      </c>
      <c r="P35" s="50">
        <f t="shared" si="1"/>
        <v>1.0416666666666667</v>
      </c>
      <c r="Q35" s="26">
        <f t="shared" ref="Q35:Q40" si="12">O35</f>
        <v>125</v>
      </c>
      <c r="R35" s="50">
        <f t="shared" si="3"/>
        <v>0.625</v>
      </c>
      <c r="S35" s="54">
        <v>160</v>
      </c>
      <c r="T35" s="26">
        <f>Q35+97</f>
        <v>222</v>
      </c>
      <c r="U35" s="50">
        <f t="shared" si="10"/>
        <v>1.3875</v>
      </c>
      <c r="V35" s="26">
        <f t="shared" ref="V35:V40" si="13">T35</f>
        <v>222</v>
      </c>
      <c r="W35" s="50">
        <f t="shared" si="9"/>
        <v>1.1100000000000001</v>
      </c>
      <c r="X35" s="26">
        <v>200</v>
      </c>
      <c r="Y35" s="26">
        <f>V35+23</f>
        <v>245</v>
      </c>
      <c r="Z35" s="129">
        <f>Y35/X35</f>
        <v>1.2250000000000001</v>
      </c>
      <c r="AA35" s="152">
        <f>Y35</f>
        <v>245</v>
      </c>
      <c r="AB35" s="129">
        <f t="shared" si="11"/>
        <v>1.2250000000000001</v>
      </c>
      <c r="AC35" s="170" t="s">
        <v>477</v>
      </c>
    </row>
    <row r="36" spans="1:29" s="20" customFormat="1" ht="120" customHeight="1" x14ac:dyDescent="0.25">
      <c r="A36" s="220"/>
      <c r="B36" s="221"/>
      <c r="C36" s="192"/>
      <c r="D36" s="192"/>
      <c r="E36" s="198"/>
      <c r="F36" s="192"/>
      <c r="G36" s="192"/>
      <c r="H36" s="155" t="s">
        <v>304</v>
      </c>
      <c r="I36" s="156" t="s">
        <v>87</v>
      </c>
      <c r="J36" s="54">
        <v>130</v>
      </c>
      <c r="K36" s="54">
        <v>530</v>
      </c>
      <c r="L36" s="154">
        <v>230</v>
      </c>
      <c r="M36" s="18">
        <v>263</v>
      </c>
      <c r="N36" s="18">
        <v>330</v>
      </c>
      <c r="O36" s="18">
        <v>364</v>
      </c>
      <c r="P36" s="50">
        <f t="shared" si="1"/>
        <v>1.103030303030303</v>
      </c>
      <c r="Q36" s="133">
        <f t="shared" si="12"/>
        <v>364</v>
      </c>
      <c r="R36" s="50">
        <f t="shared" si="3"/>
        <v>0.68679245283018864</v>
      </c>
      <c r="S36" s="18">
        <v>430</v>
      </c>
      <c r="T36" s="26">
        <f>Q36+125</f>
        <v>489</v>
      </c>
      <c r="U36" s="50">
        <f t="shared" si="10"/>
        <v>1.1372093023255814</v>
      </c>
      <c r="V36" s="26">
        <f t="shared" si="13"/>
        <v>489</v>
      </c>
      <c r="W36" s="50">
        <f t="shared" si="9"/>
        <v>0.92264150943396228</v>
      </c>
      <c r="X36" s="18">
        <v>530</v>
      </c>
      <c r="Y36" s="18">
        <f>V36+53</f>
        <v>542</v>
      </c>
      <c r="Z36" s="129">
        <f>Y36/X36</f>
        <v>1.0226415094339623</v>
      </c>
      <c r="AA36" s="152">
        <f>Y36</f>
        <v>542</v>
      </c>
      <c r="AB36" s="129">
        <f t="shared" si="11"/>
        <v>1.0226415094339623</v>
      </c>
      <c r="AC36" s="170" t="s">
        <v>462</v>
      </c>
    </row>
    <row r="37" spans="1:29" s="20" customFormat="1" ht="120" customHeight="1" x14ac:dyDescent="0.25">
      <c r="A37" s="193">
        <v>4</v>
      </c>
      <c r="B37" s="192" t="s">
        <v>34</v>
      </c>
      <c r="C37" s="192" t="s">
        <v>256</v>
      </c>
      <c r="D37" s="154">
        <v>1</v>
      </c>
      <c r="E37" s="154" t="s">
        <v>306</v>
      </c>
      <c r="F37" s="154">
        <v>1</v>
      </c>
      <c r="G37" s="154" t="s">
        <v>281</v>
      </c>
      <c r="H37" s="155" t="s">
        <v>35</v>
      </c>
      <c r="I37" s="156" t="s">
        <v>3</v>
      </c>
      <c r="J37" s="154" t="s">
        <v>279</v>
      </c>
      <c r="K37" s="154">
        <v>6</v>
      </c>
      <c r="L37" s="154">
        <v>3</v>
      </c>
      <c r="M37" s="18">
        <v>2</v>
      </c>
      <c r="N37" s="18">
        <v>5</v>
      </c>
      <c r="O37" s="18">
        <v>5</v>
      </c>
      <c r="P37" s="50">
        <f t="shared" si="1"/>
        <v>1</v>
      </c>
      <c r="Q37" s="133">
        <f t="shared" si="12"/>
        <v>5</v>
      </c>
      <c r="R37" s="50">
        <f t="shared" si="3"/>
        <v>0.83333333333333337</v>
      </c>
      <c r="S37" s="18">
        <v>6</v>
      </c>
      <c r="T37" s="26">
        <v>6</v>
      </c>
      <c r="U37" s="50">
        <f t="shared" si="10"/>
        <v>1</v>
      </c>
      <c r="V37" s="26">
        <f t="shared" si="13"/>
        <v>6</v>
      </c>
      <c r="W37" s="50">
        <f t="shared" si="9"/>
        <v>1</v>
      </c>
      <c r="X37" s="18" t="s">
        <v>259</v>
      </c>
      <c r="Y37" s="18" t="s">
        <v>259</v>
      </c>
      <c r="Z37" s="129" t="s">
        <v>259</v>
      </c>
      <c r="AA37" s="152">
        <f>V37</f>
        <v>6</v>
      </c>
      <c r="AB37" s="176">
        <f t="shared" si="11"/>
        <v>1</v>
      </c>
      <c r="AC37" s="170" t="s">
        <v>412</v>
      </c>
    </row>
    <row r="38" spans="1:29" s="20" customFormat="1" ht="120" customHeight="1" x14ac:dyDescent="0.25">
      <c r="A38" s="193"/>
      <c r="B38" s="192"/>
      <c r="C38" s="192"/>
      <c r="D38" s="192">
        <v>2</v>
      </c>
      <c r="E38" s="198" t="s">
        <v>308</v>
      </c>
      <c r="F38" s="192">
        <v>2</v>
      </c>
      <c r="G38" s="154" t="s">
        <v>309</v>
      </c>
      <c r="H38" s="155" t="s">
        <v>37</v>
      </c>
      <c r="I38" s="156" t="s">
        <v>36</v>
      </c>
      <c r="J38" s="154" t="s">
        <v>260</v>
      </c>
      <c r="K38" s="56">
        <v>40000000000</v>
      </c>
      <c r="L38" s="56">
        <v>10000000000</v>
      </c>
      <c r="M38" s="32">
        <v>11359904293</v>
      </c>
      <c r="N38" s="32">
        <v>20000000000</v>
      </c>
      <c r="O38" s="32">
        <v>21607789924</v>
      </c>
      <c r="P38" s="50">
        <f t="shared" si="1"/>
        <v>1.0803894962</v>
      </c>
      <c r="Q38" s="32">
        <f t="shared" si="12"/>
        <v>21607789924</v>
      </c>
      <c r="R38" s="50">
        <f t="shared" si="3"/>
        <v>0.54019474810000001</v>
      </c>
      <c r="S38" s="32">
        <v>30000000000</v>
      </c>
      <c r="T38" s="26">
        <f>Q38+10454886251</f>
        <v>32062676175</v>
      </c>
      <c r="U38" s="50">
        <f t="shared" si="10"/>
        <v>1.0687558724999999</v>
      </c>
      <c r="V38" s="26">
        <f t="shared" si="13"/>
        <v>32062676175</v>
      </c>
      <c r="W38" s="50">
        <f t="shared" si="9"/>
        <v>0.801566904375</v>
      </c>
      <c r="X38" s="32">
        <v>40000000000</v>
      </c>
      <c r="Y38" s="32">
        <f>V38+26765867106</f>
        <v>58828543281</v>
      </c>
      <c r="Z38" s="129">
        <f>Y38/X38</f>
        <v>1.4707135820249999</v>
      </c>
      <c r="AA38" s="166">
        <f>Y38</f>
        <v>58828543281</v>
      </c>
      <c r="AB38" s="129">
        <f t="shared" si="11"/>
        <v>1.4707135820249999</v>
      </c>
      <c r="AC38" s="170" t="s">
        <v>461</v>
      </c>
    </row>
    <row r="39" spans="1:29" s="20" customFormat="1" ht="120" customHeight="1" x14ac:dyDescent="0.25">
      <c r="A39" s="193"/>
      <c r="B39" s="192"/>
      <c r="C39" s="192"/>
      <c r="D39" s="192"/>
      <c r="E39" s="198"/>
      <c r="F39" s="192"/>
      <c r="G39" s="154" t="s">
        <v>311</v>
      </c>
      <c r="H39" s="155" t="s">
        <v>312</v>
      </c>
      <c r="I39" s="156" t="s">
        <v>10</v>
      </c>
      <c r="J39" s="154">
        <v>20</v>
      </c>
      <c r="K39" s="154">
        <v>200</v>
      </c>
      <c r="L39" s="56">
        <v>70</v>
      </c>
      <c r="M39" s="32">
        <v>86</v>
      </c>
      <c r="N39" s="32">
        <v>100</v>
      </c>
      <c r="O39" s="32">
        <v>100</v>
      </c>
      <c r="P39" s="50">
        <f t="shared" si="1"/>
        <v>1</v>
      </c>
      <c r="Q39" s="32">
        <f t="shared" si="12"/>
        <v>100</v>
      </c>
      <c r="R39" s="50">
        <f t="shared" si="3"/>
        <v>0.5</v>
      </c>
      <c r="S39" s="32">
        <v>150</v>
      </c>
      <c r="T39" s="26">
        <v>153</v>
      </c>
      <c r="U39" s="50">
        <f t="shared" si="10"/>
        <v>1.02</v>
      </c>
      <c r="V39" s="26">
        <f t="shared" si="13"/>
        <v>153</v>
      </c>
      <c r="W39" s="50">
        <f t="shared" si="9"/>
        <v>0.76500000000000001</v>
      </c>
      <c r="X39" s="32">
        <v>200</v>
      </c>
      <c r="Y39" s="32">
        <v>174</v>
      </c>
      <c r="Z39" s="129">
        <f>Y39/X39</f>
        <v>0.87</v>
      </c>
      <c r="AA39" s="186">
        <f>Y39</f>
        <v>174</v>
      </c>
      <c r="AB39" s="129">
        <f t="shared" si="11"/>
        <v>0.87</v>
      </c>
      <c r="AC39" s="170" t="s">
        <v>446</v>
      </c>
    </row>
    <row r="40" spans="1:29" s="20" customFormat="1" ht="120" customHeight="1" x14ac:dyDescent="0.25">
      <c r="A40" s="193">
        <v>5</v>
      </c>
      <c r="B40" s="192" t="s">
        <v>38</v>
      </c>
      <c r="C40" s="192" t="s">
        <v>256</v>
      </c>
      <c r="D40" s="192">
        <v>1</v>
      </c>
      <c r="E40" s="198" t="s">
        <v>39</v>
      </c>
      <c r="F40" s="192">
        <v>1</v>
      </c>
      <c r="G40" s="192" t="s">
        <v>313</v>
      </c>
      <c r="H40" s="155" t="s">
        <v>314</v>
      </c>
      <c r="I40" s="156" t="s">
        <v>140</v>
      </c>
      <c r="J40" s="154">
        <v>59</v>
      </c>
      <c r="K40" s="154">
        <v>133</v>
      </c>
      <c r="L40" s="154">
        <v>81</v>
      </c>
      <c r="M40" s="18">
        <v>81</v>
      </c>
      <c r="N40" s="18">
        <v>98</v>
      </c>
      <c r="O40" s="18">
        <v>97</v>
      </c>
      <c r="P40" s="50">
        <f t="shared" si="1"/>
        <v>0.98979591836734693</v>
      </c>
      <c r="Q40" s="133">
        <f t="shared" si="12"/>
        <v>97</v>
      </c>
      <c r="R40" s="50">
        <f t="shared" si="3"/>
        <v>0.72932330827067671</v>
      </c>
      <c r="S40" s="18">
        <v>115</v>
      </c>
      <c r="T40" s="26">
        <v>119</v>
      </c>
      <c r="U40" s="50">
        <f>(T40-J40)/(S40-J40)</f>
        <v>1.0714285714285714</v>
      </c>
      <c r="V40" s="26">
        <f t="shared" si="13"/>
        <v>119</v>
      </c>
      <c r="W40" s="50">
        <f>(V40-J40)/(K40-J40)</f>
        <v>0.81081081081081086</v>
      </c>
      <c r="X40" s="18">
        <v>133</v>
      </c>
      <c r="Y40" s="18">
        <v>134</v>
      </c>
      <c r="Z40" s="129">
        <f t="shared" ref="Z40:Z45" si="14">Y40/X40</f>
        <v>1.0075187969924813</v>
      </c>
      <c r="AA40" s="160">
        <f t="shared" ref="AA40:AA45" si="15">Y40</f>
        <v>134</v>
      </c>
      <c r="AB40" s="129">
        <f t="shared" si="11"/>
        <v>1.0075187969924813</v>
      </c>
      <c r="AC40" s="170" t="s">
        <v>430</v>
      </c>
    </row>
    <row r="41" spans="1:29" s="20" customFormat="1" ht="120" customHeight="1" x14ac:dyDescent="0.25">
      <c r="A41" s="193"/>
      <c r="B41" s="192"/>
      <c r="C41" s="192"/>
      <c r="D41" s="192"/>
      <c r="E41" s="198"/>
      <c r="F41" s="192"/>
      <c r="G41" s="192"/>
      <c r="H41" s="155" t="s">
        <v>374</v>
      </c>
      <c r="I41" s="156" t="s">
        <v>142</v>
      </c>
      <c r="J41" s="154" t="s">
        <v>259</v>
      </c>
      <c r="K41" s="154">
        <v>1</v>
      </c>
      <c r="L41" s="154" t="s">
        <v>260</v>
      </c>
      <c r="M41" s="18" t="s">
        <v>259</v>
      </c>
      <c r="N41" s="18" t="s">
        <v>260</v>
      </c>
      <c r="O41" s="18" t="s">
        <v>259</v>
      </c>
      <c r="P41" s="50" t="s">
        <v>259</v>
      </c>
      <c r="Q41" s="50" t="s">
        <v>259</v>
      </c>
      <c r="R41" s="50" t="s">
        <v>259</v>
      </c>
      <c r="S41" s="18" t="s">
        <v>260</v>
      </c>
      <c r="T41" s="26" t="s">
        <v>259</v>
      </c>
      <c r="U41" s="50" t="s">
        <v>259</v>
      </c>
      <c r="V41" s="50" t="s">
        <v>259</v>
      </c>
      <c r="W41" s="50" t="s">
        <v>259</v>
      </c>
      <c r="X41" s="18">
        <v>1</v>
      </c>
      <c r="Y41" s="18">
        <v>0.5</v>
      </c>
      <c r="Z41" s="129">
        <f t="shared" si="14"/>
        <v>0.5</v>
      </c>
      <c r="AA41" s="160">
        <f t="shared" si="15"/>
        <v>0.5</v>
      </c>
      <c r="AB41" s="129">
        <f t="shared" si="11"/>
        <v>0.5</v>
      </c>
      <c r="AC41" s="170" t="s">
        <v>465</v>
      </c>
    </row>
    <row r="42" spans="1:29" s="20" customFormat="1" ht="120" customHeight="1" x14ac:dyDescent="0.25">
      <c r="A42" s="193"/>
      <c r="B42" s="192"/>
      <c r="C42" s="192"/>
      <c r="D42" s="192"/>
      <c r="E42" s="198"/>
      <c r="F42" s="192"/>
      <c r="G42" s="192"/>
      <c r="H42" s="155" t="s">
        <v>40</v>
      </c>
      <c r="I42" s="156" t="s">
        <v>142</v>
      </c>
      <c r="J42" s="154" t="s">
        <v>317</v>
      </c>
      <c r="K42" s="154">
        <v>328</v>
      </c>
      <c r="L42" s="154">
        <v>82</v>
      </c>
      <c r="M42" s="18">
        <v>82</v>
      </c>
      <c r="N42" s="18">
        <v>164</v>
      </c>
      <c r="O42" s="18">
        <v>164</v>
      </c>
      <c r="P42" s="50">
        <f t="shared" si="1"/>
        <v>1</v>
      </c>
      <c r="Q42" s="133">
        <f>O42</f>
        <v>164</v>
      </c>
      <c r="R42" s="50">
        <f t="shared" ref="R42:R76" si="16">Q42/K42</f>
        <v>0.5</v>
      </c>
      <c r="S42" s="18">
        <v>246</v>
      </c>
      <c r="T42" s="26">
        <f>Q42+82</f>
        <v>246</v>
      </c>
      <c r="U42" s="50">
        <f>T42/S42</f>
        <v>1</v>
      </c>
      <c r="V42" s="26">
        <f>T42</f>
        <v>246</v>
      </c>
      <c r="W42" s="50">
        <f>V42/K42</f>
        <v>0.75</v>
      </c>
      <c r="X42" s="18">
        <v>328</v>
      </c>
      <c r="Y42" s="18">
        <f>V42+42</f>
        <v>288</v>
      </c>
      <c r="Z42" s="129">
        <f t="shared" si="14"/>
        <v>0.87804878048780488</v>
      </c>
      <c r="AA42" s="160">
        <f t="shared" si="15"/>
        <v>288</v>
      </c>
      <c r="AB42" s="129">
        <f t="shared" si="11"/>
        <v>0.87804878048780488</v>
      </c>
      <c r="AC42" s="170" t="s">
        <v>466</v>
      </c>
    </row>
    <row r="43" spans="1:29" s="20" customFormat="1" ht="120" customHeight="1" x14ac:dyDescent="0.25">
      <c r="A43" s="193"/>
      <c r="B43" s="192"/>
      <c r="C43" s="192"/>
      <c r="D43" s="192">
        <v>2</v>
      </c>
      <c r="E43" s="196" t="s">
        <v>318</v>
      </c>
      <c r="F43" s="192">
        <v>2</v>
      </c>
      <c r="G43" s="192" t="s">
        <v>319</v>
      </c>
      <c r="H43" s="155" t="s">
        <v>42</v>
      </c>
      <c r="I43" s="156" t="s">
        <v>6</v>
      </c>
      <c r="J43" s="154" t="s">
        <v>260</v>
      </c>
      <c r="K43" s="154">
        <v>4</v>
      </c>
      <c r="L43" s="154">
        <v>1</v>
      </c>
      <c r="M43" s="18">
        <v>1</v>
      </c>
      <c r="N43" s="18">
        <v>2</v>
      </c>
      <c r="O43" s="18">
        <v>2</v>
      </c>
      <c r="P43" s="50">
        <f t="shared" si="1"/>
        <v>1</v>
      </c>
      <c r="Q43" s="133">
        <f>O43</f>
        <v>2</v>
      </c>
      <c r="R43" s="50">
        <f t="shared" si="16"/>
        <v>0.5</v>
      </c>
      <c r="S43" s="18">
        <v>3</v>
      </c>
      <c r="T43" s="26">
        <f>Q43+1</f>
        <v>3</v>
      </c>
      <c r="U43" s="50">
        <f>T43/S43</f>
        <v>1</v>
      </c>
      <c r="V43" s="26">
        <f>T43</f>
        <v>3</v>
      </c>
      <c r="W43" s="50">
        <f>V43/K43</f>
        <v>0.75</v>
      </c>
      <c r="X43" s="18">
        <v>4</v>
      </c>
      <c r="Y43" s="18">
        <v>4</v>
      </c>
      <c r="Z43" s="129">
        <f t="shared" si="14"/>
        <v>1</v>
      </c>
      <c r="AA43" s="26">
        <f t="shared" si="15"/>
        <v>4</v>
      </c>
      <c r="AB43" s="129">
        <f t="shared" si="11"/>
        <v>1</v>
      </c>
      <c r="AC43" s="170" t="s">
        <v>441</v>
      </c>
    </row>
    <row r="44" spans="1:29" s="20" customFormat="1" ht="120" customHeight="1" x14ac:dyDescent="0.25">
      <c r="A44" s="193"/>
      <c r="B44" s="192"/>
      <c r="C44" s="192"/>
      <c r="D44" s="192"/>
      <c r="E44" s="196"/>
      <c r="F44" s="192"/>
      <c r="G44" s="192"/>
      <c r="H44" s="155" t="s">
        <v>380</v>
      </c>
      <c r="I44" s="156" t="s">
        <v>6</v>
      </c>
      <c r="J44" s="54">
        <v>300</v>
      </c>
      <c r="K44" s="54">
        <v>1301</v>
      </c>
      <c r="L44" s="154">
        <v>100</v>
      </c>
      <c r="M44" s="18">
        <v>100</v>
      </c>
      <c r="N44" s="18">
        <v>240</v>
      </c>
      <c r="O44" s="18">
        <v>268</v>
      </c>
      <c r="P44" s="50">
        <f t="shared" si="1"/>
        <v>1.1166666666666667</v>
      </c>
      <c r="Q44" s="133">
        <f>O44</f>
        <v>268</v>
      </c>
      <c r="R44" s="50">
        <f t="shared" si="16"/>
        <v>0.20599538816295157</v>
      </c>
      <c r="S44" s="18">
        <v>742</v>
      </c>
      <c r="T44" s="26">
        <f>Q44+354</f>
        <v>622</v>
      </c>
      <c r="U44" s="50">
        <f>T44/S44</f>
        <v>0.83827493261455521</v>
      </c>
      <c r="V44" s="26">
        <f>T44</f>
        <v>622</v>
      </c>
      <c r="W44" s="50">
        <f>V44/K44</f>
        <v>0.47809377401998465</v>
      </c>
      <c r="X44" s="18">
        <v>1301</v>
      </c>
      <c r="Y44" s="18">
        <f>V44+253</f>
        <v>875</v>
      </c>
      <c r="Z44" s="129">
        <f t="shared" si="14"/>
        <v>0.67255956956187546</v>
      </c>
      <c r="AA44" s="26">
        <f t="shared" si="15"/>
        <v>875</v>
      </c>
      <c r="AB44" s="129">
        <f t="shared" si="11"/>
        <v>0.67255956956187546</v>
      </c>
      <c r="AC44" s="170" t="s">
        <v>442</v>
      </c>
    </row>
    <row r="45" spans="1:29" s="20" customFormat="1" ht="120" customHeight="1" x14ac:dyDescent="0.25">
      <c r="A45" s="193">
        <v>6</v>
      </c>
      <c r="B45" s="192" t="s">
        <v>323</v>
      </c>
      <c r="C45" s="192" t="s">
        <v>294</v>
      </c>
      <c r="D45" s="192">
        <v>1</v>
      </c>
      <c r="E45" s="198" t="s">
        <v>44</v>
      </c>
      <c r="F45" s="192">
        <v>1</v>
      </c>
      <c r="G45" s="192" t="s">
        <v>294</v>
      </c>
      <c r="H45" s="155" t="s">
        <v>45</v>
      </c>
      <c r="I45" s="156" t="s">
        <v>5</v>
      </c>
      <c r="J45" s="154">
        <v>10</v>
      </c>
      <c r="K45" s="154">
        <v>14</v>
      </c>
      <c r="L45" s="154">
        <v>11</v>
      </c>
      <c r="M45" s="18">
        <v>11</v>
      </c>
      <c r="N45" s="18">
        <v>12</v>
      </c>
      <c r="O45" s="18">
        <v>12</v>
      </c>
      <c r="P45" s="50">
        <f t="shared" si="1"/>
        <v>1</v>
      </c>
      <c r="Q45" s="133">
        <f>O45</f>
        <v>12</v>
      </c>
      <c r="R45" s="50">
        <f t="shared" si="16"/>
        <v>0.8571428571428571</v>
      </c>
      <c r="S45" s="18">
        <v>13</v>
      </c>
      <c r="T45" s="26">
        <v>12</v>
      </c>
      <c r="U45" s="50">
        <f>(T45-J45)/(S45-J45)</f>
        <v>0.66666666666666663</v>
      </c>
      <c r="V45" s="26">
        <v>12</v>
      </c>
      <c r="W45" s="50">
        <f>(V45-J45)/(K45-J45)</f>
        <v>0.5</v>
      </c>
      <c r="X45" s="18">
        <v>14</v>
      </c>
      <c r="Y45" s="18">
        <v>15</v>
      </c>
      <c r="Z45" s="129">
        <f t="shared" si="14"/>
        <v>1.0714285714285714</v>
      </c>
      <c r="AA45" s="160">
        <f t="shared" si="15"/>
        <v>15</v>
      </c>
      <c r="AB45" s="129">
        <f t="shared" si="11"/>
        <v>1.0714285714285714</v>
      </c>
      <c r="AC45" s="170" t="s">
        <v>422</v>
      </c>
    </row>
    <row r="46" spans="1:29" s="20" customFormat="1" ht="120" customHeight="1" x14ac:dyDescent="0.25">
      <c r="A46" s="193"/>
      <c r="B46" s="192"/>
      <c r="C46" s="192"/>
      <c r="D46" s="192"/>
      <c r="E46" s="198"/>
      <c r="F46" s="192"/>
      <c r="G46" s="192"/>
      <c r="H46" s="155" t="s">
        <v>46</v>
      </c>
      <c r="I46" s="156" t="s">
        <v>5</v>
      </c>
      <c r="J46" s="154" t="s">
        <v>259</v>
      </c>
      <c r="K46" s="154">
        <v>200</v>
      </c>
      <c r="L46" s="154">
        <v>21</v>
      </c>
      <c r="M46" s="18">
        <v>21</v>
      </c>
      <c r="N46" s="18">
        <v>57</v>
      </c>
      <c r="O46" s="18">
        <v>57</v>
      </c>
      <c r="P46" s="50">
        <f t="shared" si="1"/>
        <v>1</v>
      </c>
      <c r="Q46" s="133">
        <f>O46+M46</f>
        <v>78</v>
      </c>
      <c r="R46" s="50">
        <f t="shared" si="16"/>
        <v>0.39</v>
      </c>
      <c r="S46" s="18">
        <v>73</v>
      </c>
      <c r="T46" s="26">
        <v>131</v>
      </c>
      <c r="U46" s="50">
        <f>T46/S46</f>
        <v>1.7945205479452055</v>
      </c>
      <c r="V46" s="26">
        <v>209</v>
      </c>
      <c r="W46" s="50">
        <f>V46/K46</f>
        <v>1.0449999999999999</v>
      </c>
      <c r="X46" s="18" t="s">
        <v>259</v>
      </c>
      <c r="Y46" s="18" t="s">
        <v>259</v>
      </c>
      <c r="Z46" s="129" t="s">
        <v>259</v>
      </c>
      <c r="AA46" s="152">
        <f>V46</f>
        <v>209</v>
      </c>
      <c r="AB46" s="129">
        <f t="shared" si="11"/>
        <v>1.0449999999999999</v>
      </c>
      <c r="AC46" s="170" t="s">
        <v>423</v>
      </c>
    </row>
    <row r="47" spans="1:29" s="20" customFormat="1" ht="120" customHeight="1" x14ac:dyDescent="0.25">
      <c r="A47" s="193"/>
      <c r="B47" s="192"/>
      <c r="C47" s="192"/>
      <c r="D47" s="192">
        <v>2</v>
      </c>
      <c r="E47" s="198" t="s">
        <v>47</v>
      </c>
      <c r="F47" s="192">
        <v>2</v>
      </c>
      <c r="G47" s="192" t="s">
        <v>324</v>
      </c>
      <c r="H47" s="155" t="s">
        <v>325</v>
      </c>
      <c r="I47" s="156" t="s">
        <v>5</v>
      </c>
      <c r="J47" s="154">
        <v>5</v>
      </c>
      <c r="K47" s="154">
        <v>8</v>
      </c>
      <c r="L47" s="154">
        <v>6</v>
      </c>
      <c r="M47" s="18">
        <v>6</v>
      </c>
      <c r="N47" s="18">
        <v>6</v>
      </c>
      <c r="O47" s="18">
        <v>6</v>
      </c>
      <c r="P47" s="50">
        <f t="shared" si="1"/>
        <v>1</v>
      </c>
      <c r="Q47" s="133">
        <f>O47</f>
        <v>6</v>
      </c>
      <c r="R47" s="50">
        <f t="shared" si="16"/>
        <v>0.75</v>
      </c>
      <c r="S47" s="18">
        <v>7</v>
      </c>
      <c r="T47" s="26">
        <f>Q47+2</f>
        <v>8</v>
      </c>
      <c r="U47" s="50">
        <f t="shared" ref="U47" si="17">T47/K47</f>
        <v>1</v>
      </c>
      <c r="V47" s="26">
        <v>8</v>
      </c>
      <c r="W47" s="50">
        <f>V47/K47</f>
        <v>1</v>
      </c>
      <c r="X47" s="18">
        <v>8</v>
      </c>
      <c r="Y47" s="18">
        <v>9</v>
      </c>
      <c r="Z47" s="129">
        <f>Y47/X47</f>
        <v>1.125</v>
      </c>
      <c r="AA47" s="160">
        <f>Y47</f>
        <v>9</v>
      </c>
      <c r="AB47" s="129">
        <f t="shared" si="11"/>
        <v>1.125</v>
      </c>
      <c r="AC47" s="170" t="s">
        <v>449</v>
      </c>
    </row>
    <row r="48" spans="1:29" s="20" customFormat="1" ht="120" customHeight="1" x14ac:dyDescent="0.25">
      <c r="A48" s="193"/>
      <c r="B48" s="192"/>
      <c r="C48" s="192"/>
      <c r="D48" s="192"/>
      <c r="E48" s="198"/>
      <c r="F48" s="192"/>
      <c r="G48" s="192"/>
      <c r="H48" s="155" t="s">
        <v>48</v>
      </c>
      <c r="I48" s="156" t="s">
        <v>5</v>
      </c>
      <c r="J48" s="154">
        <v>1141</v>
      </c>
      <c r="K48" s="154">
        <v>1161</v>
      </c>
      <c r="L48" s="154">
        <v>1145</v>
      </c>
      <c r="M48" s="18">
        <v>1145</v>
      </c>
      <c r="N48" s="18">
        <v>1152</v>
      </c>
      <c r="O48" s="18">
        <v>1153</v>
      </c>
      <c r="P48" s="50">
        <f t="shared" si="1"/>
        <v>1.0008680555555556</v>
      </c>
      <c r="Q48" s="133">
        <f>O48</f>
        <v>1153</v>
      </c>
      <c r="R48" s="50">
        <f t="shared" si="16"/>
        <v>0.99310938845822572</v>
      </c>
      <c r="S48" s="18">
        <v>1159</v>
      </c>
      <c r="T48" s="26">
        <f>Q48+7</f>
        <v>1160</v>
      </c>
      <c r="U48" s="50">
        <f>(T48-J48)/(S48-J48)</f>
        <v>1.0555555555555556</v>
      </c>
      <c r="V48" s="26">
        <f>T48</f>
        <v>1160</v>
      </c>
      <c r="W48" s="50">
        <f>(V48-J48)/(K48-J48)</f>
        <v>0.95</v>
      </c>
      <c r="X48" s="18">
        <v>1161</v>
      </c>
      <c r="Y48" s="18">
        <v>1161</v>
      </c>
      <c r="Z48" s="161">
        <f>Y48/X48</f>
        <v>1</v>
      </c>
      <c r="AA48" s="149">
        <f>Y48</f>
        <v>1161</v>
      </c>
      <c r="AB48" s="161">
        <f t="shared" si="11"/>
        <v>1</v>
      </c>
      <c r="AC48" s="170" t="s">
        <v>448</v>
      </c>
    </row>
    <row r="49" spans="1:29" s="20" customFormat="1" ht="120" customHeight="1" x14ac:dyDescent="0.25">
      <c r="A49" s="193"/>
      <c r="B49" s="192"/>
      <c r="C49" s="192"/>
      <c r="D49" s="192"/>
      <c r="E49" s="198"/>
      <c r="F49" s="192"/>
      <c r="G49" s="192"/>
      <c r="H49" s="155" t="s">
        <v>326</v>
      </c>
      <c r="I49" s="156" t="s">
        <v>6</v>
      </c>
      <c r="J49" s="154">
        <v>2</v>
      </c>
      <c r="K49" s="154">
        <v>5</v>
      </c>
      <c r="L49" s="154">
        <v>2</v>
      </c>
      <c r="M49" s="18">
        <v>2</v>
      </c>
      <c r="N49" s="18">
        <v>2</v>
      </c>
      <c r="O49" s="18">
        <v>4</v>
      </c>
      <c r="P49" s="50">
        <f t="shared" si="1"/>
        <v>2</v>
      </c>
      <c r="Q49" s="133">
        <f>O49</f>
        <v>4</v>
      </c>
      <c r="R49" s="50">
        <f t="shared" si="16"/>
        <v>0.8</v>
      </c>
      <c r="S49" s="18">
        <v>6</v>
      </c>
      <c r="T49" s="26">
        <v>6</v>
      </c>
      <c r="U49" s="50">
        <f>T49/S49</f>
        <v>1</v>
      </c>
      <c r="V49" s="26">
        <v>6</v>
      </c>
      <c r="W49" s="50">
        <v>1</v>
      </c>
      <c r="X49" s="18">
        <v>5</v>
      </c>
      <c r="Y49" s="18">
        <v>6</v>
      </c>
      <c r="Z49" s="129">
        <f>Y49/X49</f>
        <v>1.2</v>
      </c>
      <c r="AA49" s="18">
        <v>6</v>
      </c>
      <c r="AB49" s="129">
        <f t="shared" si="11"/>
        <v>1.2</v>
      </c>
      <c r="AC49" s="170" t="s">
        <v>421</v>
      </c>
    </row>
    <row r="50" spans="1:29" s="20" customFormat="1" ht="120" customHeight="1" x14ac:dyDescent="0.25">
      <c r="A50" s="193"/>
      <c r="B50" s="192"/>
      <c r="C50" s="192"/>
      <c r="D50" s="199">
        <v>3</v>
      </c>
      <c r="E50" s="198" t="s">
        <v>96</v>
      </c>
      <c r="F50" s="199">
        <v>3</v>
      </c>
      <c r="G50" s="192" t="s">
        <v>278</v>
      </c>
      <c r="H50" s="155" t="s">
        <v>375</v>
      </c>
      <c r="I50" s="156" t="s">
        <v>12</v>
      </c>
      <c r="J50" s="154" t="s">
        <v>279</v>
      </c>
      <c r="K50" s="49">
        <v>1</v>
      </c>
      <c r="L50" s="49">
        <v>1</v>
      </c>
      <c r="M50" s="21">
        <v>1</v>
      </c>
      <c r="N50" s="21">
        <v>1</v>
      </c>
      <c r="O50" s="21">
        <v>1</v>
      </c>
      <c r="P50" s="50">
        <f t="shared" si="1"/>
        <v>1</v>
      </c>
      <c r="Q50" s="50">
        <f>O50</f>
        <v>1</v>
      </c>
      <c r="R50" s="50">
        <f t="shared" si="16"/>
        <v>1</v>
      </c>
      <c r="S50" s="18">
        <v>0</v>
      </c>
      <c r="T50" s="26" t="s">
        <v>259</v>
      </c>
      <c r="U50" s="50">
        <v>1</v>
      </c>
      <c r="V50" s="50" t="s">
        <v>259</v>
      </c>
      <c r="W50" s="50">
        <v>1</v>
      </c>
      <c r="X50" s="18">
        <v>0</v>
      </c>
      <c r="Y50" s="18" t="s">
        <v>259</v>
      </c>
      <c r="Z50" s="129" t="s">
        <v>259</v>
      </c>
      <c r="AA50" s="153">
        <f>M50</f>
        <v>1</v>
      </c>
      <c r="AB50" s="129">
        <f>W50</f>
        <v>1</v>
      </c>
      <c r="AC50" s="170" t="s">
        <v>409</v>
      </c>
    </row>
    <row r="51" spans="1:29" s="20" customFormat="1" ht="120" customHeight="1" x14ac:dyDescent="0.25">
      <c r="A51" s="193"/>
      <c r="B51" s="192"/>
      <c r="C51" s="192"/>
      <c r="D51" s="199"/>
      <c r="E51" s="198"/>
      <c r="F51" s="199"/>
      <c r="G51" s="192"/>
      <c r="H51" s="155" t="s">
        <v>328</v>
      </c>
      <c r="I51" s="156" t="s">
        <v>6</v>
      </c>
      <c r="J51" s="154" t="s">
        <v>260</v>
      </c>
      <c r="K51" s="54">
        <v>3200000</v>
      </c>
      <c r="L51" s="54">
        <v>800000</v>
      </c>
      <c r="M51" s="26">
        <v>800000</v>
      </c>
      <c r="N51" s="26">
        <v>800000</v>
      </c>
      <c r="O51" s="26">
        <v>800000</v>
      </c>
      <c r="P51" s="50">
        <f t="shared" si="1"/>
        <v>1</v>
      </c>
      <c r="Q51" s="26">
        <f>O51+M51</f>
        <v>1600000</v>
      </c>
      <c r="R51" s="50">
        <f t="shared" si="16"/>
        <v>0.5</v>
      </c>
      <c r="S51" s="26">
        <v>800000</v>
      </c>
      <c r="T51" s="26">
        <v>695108</v>
      </c>
      <c r="U51" s="50">
        <f>T51/S51</f>
        <v>0.86888500000000002</v>
      </c>
      <c r="V51" s="26">
        <f>Q51+T51</f>
        <v>2295108</v>
      </c>
      <c r="W51" s="50">
        <f>V51/K51</f>
        <v>0.71722125000000003</v>
      </c>
      <c r="X51" s="26">
        <v>800000</v>
      </c>
      <c r="Y51" s="26">
        <v>1462</v>
      </c>
      <c r="Z51" s="130">
        <f t="shared" ref="Z51:Z58" si="18">Y51/X51</f>
        <v>1.8274999999999999E-3</v>
      </c>
      <c r="AA51" s="26">
        <f>V51+Y51</f>
        <v>2296570</v>
      </c>
      <c r="AB51" s="129">
        <f t="shared" ref="AB51:AB76" si="19">AA51/K51</f>
        <v>0.71767812499999994</v>
      </c>
      <c r="AC51" s="170" t="s">
        <v>443</v>
      </c>
    </row>
    <row r="52" spans="1:29" s="20" customFormat="1" ht="120" customHeight="1" x14ac:dyDescent="0.25">
      <c r="A52" s="193"/>
      <c r="B52" s="192"/>
      <c r="C52" s="192"/>
      <c r="D52" s="192">
        <v>4</v>
      </c>
      <c r="E52" s="198" t="s">
        <v>91</v>
      </c>
      <c r="F52" s="192">
        <v>4</v>
      </c>
      <c r="G52" s="192" t="s">
        <v>294</v>
      </c>
      <c r="H52" s="155" t="s">
        <v>330</v>
      </c>
      <c r="I52" s="156" t="s">
        <v>5</v>
      </c>
      <c r="J52" s="154">
        <v>53</v>
      </c>
      <c r="K52" s="154">
        <v>65</v>
      </c>
      <c r="L52" s="154">
        <v>55</v>
      </c>
      <c r="M52" s="18">
        <v>55</v>
      </c>
      <c r="N52" s="18">
        <v>57</v>
      </c>
      <c r="O52" s="18">
        <v>57</v>
      </c>
      <c r="P52" s="50">
        <f t="shared" si="1"/>
        <v>1</v>
      </c>
      <c r="Q52" s="133">
        <f t="shared" ref="Q52:Q57" si="20">O52</f>
        <v>57</v>
      </c>
      <c r="R52" s="50">
        <f t="shared" si="16"/>
        <v>0.87692307692307692</v>
      </c>
      <c r="S52" s="18">
        <v>62</v>
      </c>
      <c r="T52" s="26">
        <v>63</v>
      </c>
      <c r="U52" s="50">
        <f>(T52-J52)/(S52-J52)</f>
        <v>1.1111111111111112</v>
      </c>
      <c r="V52" s="26">
        <v>63</v>
      </c>
      <c r="W52" s="50">
        <f>(V52-J52)/(K52-J52)</f>
        <v>0.83333333333333337</v>
      </c>
      <c r="X52" s="18">
        <v>65</v>
      </c>
      <c r="Y52" s="18">
        <v>65</v>
      </c>
      <c r="Z52" s="129">
        <f t="shared" si="18"/>
        <v>1</v>
      </c>
      <c r="AA52" s="160">
        <f t="shared" ref="AA52:AA57" si="21">Y52</f>
        <v>65</v>
      </c>
      <c r="AB52" s="162">
        <f t="shared" si="19"/>
        <v>1</v>
      </c>
      <c r="AC52" s="170" t="s">
        <v>424</v>
      </c>
    </row>
    <row r="53" spans="1:29" s="20" customFormat="1" ht="120" customHeight="1" x14ac:dyDescent="0.25">
      <c r="A53" s="193"/>
      <c r="B53" s="192"/>
      <c r="C53" s="192"/>
      <c r="D53" s="192"/>
      <c r="E53" s="198"/>
      <c r="F53" s="192"/>
      <c r="G53" s="192"/>
      <c r="H53" s="155" t="s">
        <v>331</v>
      </c>
      <c r="I53" s="156" t="s">
        <v>5</v>
      </c>
      <c r="J53" s="154">
        <v>61</v>
      </c>
      <c r="K53" s="154">
        <v>73</v>
      </c>
      <c r="L53" s="154">
        <v>67</v>
      </c>
      <c r="M53" s="18">
        <v>67</v>
      </c>
      <c r="N53" s="18">
        <v>68</v>
      </c>
      <c r="O53" s="18">
        <v>68</v>
      </c>
      <c r="P53" s="50">
        <f t="shared" si="1"/>
        <v>1</v>
      </c>
      <c r="Q53" s="133">
        <f t="shared" si="20"/>
        <v>68</v>
      </c>
      <c r="R53" s="50">
        <f t="shared" si="16"/>
        <v>0.93150684931506844</v>
      </c>
      <c r="S53" s="18">
        <v>71</v>
      </c>
      <c r="T53" s="26">
        <v>71</v>
      </c>
      <c r="U53" s="50">
        <f>(T53-J53)/(S53-J53)</f>
        <v>1</v>
      </c>
      <c r="V53" s="26">
        <f>T53</f>
        <v>71</v>
      </c>
      <c r="W53" s="50">
        <f>(V53-J53)/(K53-J53)</f>
        <v>0.83333333333333337</v>
      </c>
      <c r="X53" s="18">
        <v>73</v>
      </c>
      <c r="Y53" s="18">
        <v>74</v>
      </c>
      <c r="Z53" s="129">
        <f t="shared" si="18"/>
        <v>1.0136986301369864</v>
      </c>
      <c r="AA53" s="160">
        <f t="shared" si="21"/>
        <v>74</v>
      </c>
      <c r="AB53" s="162">
        <f t="shared" si="19"/>
        <v>1.0136986301369864</v>
      </c>
      <c r="AC53" s="170" t="s">
        <v>425</v>
      </c>
    </row>
    <row r="54" spans="1:29" s="20" customFormat="1" ht="120" customHeight="1" x14ac:dyDescent="0.25">
      <c r="A54" s="193"/>
      <c r="B54" s="192"/>
      <c r="C54" s="192"/>
      <c r="D54" s="154">
        <v>5</v>
      </c>
      <c r="E54" s="155" t="s">
        <v>332</v>
      </c>
      <c r="F54" s="154">
        <v>5</v>
      </c>
      <c r="G54" s="154" t="s">
        <v>316</v>
      </c>
      <c r="H54" s="155" t="s">
        <v>49</v>
      </c>
      <c r="I54" s="156" t="s">
        <v>142</v>
      </c>
      <c r="J54" s="154" t="s">
        <v>317</v>
      </c>
      <c r="K54" s="154">
        <v>48</v>
      </c>
      <c r="L54" s="57">
        <v>12</v>
      </c>
      <c r="M54" s="34">
        <v>12</v>
      </c>
      <c r="N54" s="34">
        <v>24</v>
      </c>
      <c r="O54" s="34">
        <v>24</v>
      </c>
      <c r="P54" s="50">
        <f t="shared" si="1"/>
        <v>1</v>
      </c>
      <c r="Q54" s="34">
        <f t="shared" si="20"/>
        <v>24</v>
      </c>
      <c r="R54" s="50">
        <f t="shared" si="16"/>
        <v>0.5</v>
      </c>
      <c r="S54" s="34">
        <v>36</v>
      </c>
      <c r="T54" s="26">
        <f>Q54+12</f>
        <v>36</v>
      </c>
      <c r="U54" s="50">
        <f>T54/S54</f>
        <v>1</v>
      </c>
      <c r="V54" s="26">
        <f>T54</f>
        <v>36</v>
      </c>
      <c r="W54" s="50">
        <f>T54/K54</f>
        <v>0.75</v>
      </c>
      <c r="X54" s="34">
        <v>48</v>
      </c>
      <c r="Y54" s="34">
        <f>V54+6</f>
        <v>42</v>
      </c>
      <c r="Z54" s="129">
        <f t="shared" si="18"/>
        <v>0.875</v>
      </c>
      <c r="AA54" s="167">
        <f t="shared" si="21"/>
        <v>42</v>
      </c>
      <c r="AB54" s="162">
        <f t="shared" si="19"/>
        <v>0.875</v>
      </c>
      <c r="AC54" s="170" t="s">
        <v>467</v>
      </c>
    </row>
    <row r="55" spans="1:29" s="20" customFormat="1" ht="120" customHeight="1" x14ac:dyDescent="0.25">
      <c r="A55" s="193">
        <v>7</v>
      </c>
      <c r="B55" s="192" t="s">
        <v>333</v>
      </c>
      <c r="C55" s="192" t="s">
        <v>334</v>
      </c>
      <c r="D55" s="192">
        <v>1</v>
      </c>
      <c r="E55" s="198" t="s">
        <v>335</v>
      </c>
      <c r="F55" s="192">
        <v>1</v>
      </c>
      <c r="G55" s="192" t="s">
        <v>336</v>
      </c>
      <c r="H55" s="155" t="s">
        <v>337</v>
      </c>
      <c r="I55" s="156" t="s">
        <v>148</v>
      </c>
      <c r="J55" s="54">
        <v>2050</v>
      </c>
      <c r="K55" s="54">
        <v>12294</v>
      </c>
      <c r="L55" s="54">
        <v>4350</v>
      </c>
      <c r="M55" s="26">
        <v>4350</v>
      </c>
      <c r="N55" s="26">
        <v>6870</v>
      </c>
      <c r="O55" s="26">
        <v>6870</v>
      </c>
      <c r="P55" s="50">
        <f t="shared" si="1"/>
        <v>1</v>
      </c>
      <c r="Q55" s="34">
        <f t="shared" si="20"/>
        <v>6870</v>
      </c>
      <c r="R55" s="50">
        <f t="shared" si="16"/>
        <v>0.55880917520741824</v>
      </c>
      <c r="S55" s="26">
        <v>9516</v>
      </c>
      <c r="T55" s="26">
        <v>10374</v>
      </c>
      <c r="U55" s="50">
        <f>(T55-J55)/(S55-J55)</f>
        <v>1.1149209750870614</v>
      </c>
      <c r="V55" s="26">
        <f>T55</f>
        <v>10374</v>
      </c>
      <c r="W55" s="50">
        <f>(V55-J55)/(K55-J55)</f>
        <v>0.81257321358844203</v>
      </c>
      <c r="X55" s="26">
        <v>12294</v>
      </c>
      <c r="Y55" s="26">
        <v>13098</v>
      </c>
      <c r="Z55" s="129">
        <f t="shared" si="18"/>
        <v>1.0653977550024403</v>
      </c>
      <c r="AA55" s="152">
        <f t="shared" si="21"/>
        <v>13098</v>
      </c>
      <c r="AB55" s="162">
        <f t="shared" si="19"/>
        <v>1.0653977550024403</v>
      </c>
      <c r="AC55" s="170" t="s">
        <v>432</v>
      </c>
    </row>
    <row r="56" spans="1:29" s="20" customFormat="1" ht="120" customHeight="1" x14ac:dyDescent="0.25">
      <c r="A56" s="193"/>
      <c r="B56" s="192"/>
      <c r="C56" s="192"/>
      <c r="D56" s="192"/>
      <c r="E56" s="198"/>
      <c r="F56" s="192"/>
      <c r="G56" s="192"/>
      <c r="H56" s="155" t="s">
        <v>339</v>
      </c>
      <c r="I56" s="156" t="s">
        <v>148</v>
      </c>
      <c r="J56" s="54" t="s">
        <v>260</v>
      </c>
      <c r="K56" s="52">
        <v>0.2</v>
      </c>
      <c r="L56" s="52">
        <v>0.2</v>
      </c>
      <c r="M56" s="22">
        <v>0.2</v>
      </c>
      <c r="N56" s="22">
        <v>0.02</v>
      </c>
      <c r="O56" s="22">
        <v>0.02</v>
      </c>
      <c r="P56" s="50">
        <f t="shared" si="1"/>
        <v>1</v>
      </c>
      <c r="Q56" s="50">
        <f t="shared" si="20"/>
        <v>0.02</v>
      </c>
      <c r="R56" s="50">
        <f t="shared" si="16"/>
        <v>9.9999999999999992E-2</v>
      </c>
      <c r="S56" s="22">
        <v>0.2</v>
      </c>
      <c r="T56" s="165">
        <v>0.2</v>
      </c>
      <c r="U56" s="50">
        <f>T56/S56</f>
        <v>1</v>
      </c>
      <c r="V56" s="50">
        <v>0.2</v>
      </c>
      <c r="W56" s="50">
        <f>V56/K56</f>
        <v>1</v>
      </c>
      <c r="X56" s="22">
        <v>0.2</v>
      </c>
      <c r="Y56" s="22">
        <v>0</v>
      </c>
      <c r="Z56" s="129">
        <f t="shared" si="18"/>
        <v>0</v>
      </c>
      <c r="AA56" s="153">
        <f t="shared" si="21"/>
        <v>0</v>
      </c>
      <c r="AB56" s="162">
        <f t="shared" si="19"/>
        <v>0</v>
      </c>
      <c r="AC56" s="170" t="s">
        <v>463</v>
      </c>
    </row>
    <row r="57" spans="1:29" s="20" customFormat="1" ht="120" customHeight="1" x14ac:dyDescent="0.25">
      <c r="A57" s="193"/>
      <c r="B57" s="192"/>
      <c r="C57" s="192"/>
      <c r="D57" s="192"/>
      <c r="E57" s="198"/>
      <c r="F57" s="192"/>
      <c r="G57" s="192"/>
      <c r="H57" s="155" t="s">
        <v>52</v>
      </c>
      <c r="I57" s="156" t="s">
        <v>149</v>
      </c>
      <c r="J57" s="154">
        <v>871</v>
      </c>
      <c r="K57" s="54">
        <v>5500</v>
      </c>
      <c r="L57" s="54">
        <v>1945</v>
      </c>
      <c r="M57" s="26">
        <v>1801</v>
      </c>
      <c r="N57" s="26">
        <v>3073</v>
      </c>
      <c r="O57" s="26">
        <v>2947</v>
      </c>
      <c r="P57" s="50">
        <f t="shared" si="1"/>
        <v>0.95899772209567202</v>
      </c>
      <c r="Q57" s="26">
        <f t="shared" si="20"/>
        <v>2947</v>
      </c>
      <c r="R57" s="50">
        <f t="shared" si="16"/>
        <v>0.53581818181818186</v>
      </c>
      <c r="S57" s="26">
        <v>4257</v>
      </c>
      <c r="T57" s="26">
        <v>6993</v>
      </c>
      <c r="U57" s="50">
        <f>(T57-J57)/(S57-J57)</f>
        <v>1.8080330773774365</v>
      </c>
      <c r="V57" s="26">
        <f>T57</f>
        <v>6993</v>
      </c>
      <c r="W57" s="50">
        <f>(V57-J57)/(K57-J57)</f>
        <v>1.3225318643335493</v>
      </c>
      <c r="X57" s="26">
        <v>5500</v>
      </c>
      <c r="Y57" s="26">
        <f>V57</f>
        <v>6993</v>
      </c>
      <c r="Z57" s="129">
        <f t="shared" si="18"/>
        <v>1.2714545454545454</v>
      </c>
      <c r="AA57" s="152">
        <f t="shared" si="21"/>
        <v>6993</v>
      </c>
      <c r="AB57" s="162">
        <f t="shared" si="19"/>
        <v>1.2714545454545454</v>
      </c>
      <c r="AC57" s="170" t="s">
        <v>431</v>
      </c>
    </row>
    <row r="58" spans="1:29" s="20" customFormat="1" ht="120" customHeight="1" x14ac:dyDescent="0.25">
      <c r="A58" s="193"/>
      <c r="B58" s="192"/>
      <c r="C58" s="192"/>
      <c r="D58" s="192"/>
      <c r="E58" s="198"/>
      <c r="F58" s="192"/>
      <c r="G58" s="192"/>
      <c r="H58" s="155" t="s">
        <v>342</v>
      </c>
      <c r="I58" s="156" t="s">
        <v>149</v>
      </c>
      <c r="J58" s="154" t="s">
        <v>279</v>
      </c>
      <c r="K58" s="51">
        <v>400</v>
      </c>
      <c r="L58" s="51">
        <v>100</v>
      </c>
      <c r="M58" s="51">
        <v>102</v>
      </c>
      <c r="N58" s="51">
        <v>100</v>
      </c>
      <c r="O58" s="51">
        <v>88</v>
      </c>
      <c r="P58" s="50">
        <f t="shared" si="1"/>
        <v>0.88</v>
      </c>
      <c r="Q58" s="51">
        <f>O58+M58</f>
        <v>190</v>
      </c>
      <c r="R58" s="50">
        <f t="shared" si="16"/>
        <v>0.47499999999999998</v>
      </c>
      <c r="S58" s="51">
        <v>100</v>
      </c>
      <c r="T58" s="26">
        <v>100</v>
      </c>
      <c r="U58" s="50">
        <f>T58/S58</f>
        <v>1</v>
      </c>
      <c r="V58" s="26">
        <f>T58+Q58</f>
        <v>290</v>
      </c>
      <c r="W58" s="50">
        <f t="shared" ref="W58:W64" si="22">V58/K58</f>
        <v>0.72499999999999998</v>
      </c>
      <c r="X58" s="51">
        <v>100</v>
      </c>
      <c r="Y58" s="26">
        <v>0</v>
      </c>
      <c r="Z58" s="129">
        <f t="shared" si="18"/>
        <v>0</v>
      </c>
      <c r="AA58" s="152">
        <f>V58</f>
        <v>290</v>
      </c>
      <c r="AB58" s="162">
        <f t="shared" si="19"/>
        <v>0.72499999999999998</v>
      </c>
      <c r="AC58" s="170" t="s">
        <v>464</v>
      </c>
    </row>
    <row r="59" spans="1:29" s="20" customFormat="1" ht="120" customHeight="1" x14ac:dyDescent="0.25">
      <c r="A59" s="193"/>
      <c r="B59" s="192"/>
      <c r="C59" s="192"/>
      <c r="D59" s="192">
        <v>2</v>
      </c>
      <c r="E59" s="198" t="s">
        <v>53</v>
      </c>
      <c r="F59" s="192">
        <v>2</v>
      </c>
      <c r="G59" s="192" t="s">
        <v>281</v>
      </c>
      <c r="H59" s="155" t="s">
        <v>54</v>
      </c>
      <c r="I59" s="156" t="s">
        <v>5</v>
      </c>
      <c r="J59" s="154" t="s">
        <v>259</v>
      </c>
      <c r="K59" s="154">
        <v>1</v>
      </c>
      <c r="L59" s="154">
        <v>1</v>
      </c>
      <c r="M59" s="18">
        <v>1</v>
      </c>
      <c r="N59" s="18" t="s">
        <v>260</v>
      </c>
      <c r="O59" s="18" t="s">
        <v>259</v>
      </c>
      <c r="P59" s="50" t="s">
        <v>259</v>
      </c>
      <c r="Q59" s="36">
        <v>1</v>
      </c>
      <c r="R59" s="50">
        <f t="shared" si="16"/>
        <v>1</v>
      </c>
      <c r="S59" s="18" t="s">
        <v>260</v>
      </c>
      <c r="T59" s="26" t="s">
        <v>259</v>
      </c>
      <c r="U59" s="50">
        <v>1</v>
      </c>
      <c r="V59" s="26">
        <v>1</v>
      </c>
      <c r="W59" s="50">
        <f t="shared" si="22"/>
        <v>1</v>
      </c>
      <c r="X59" s="18" t="s">
        <v>259</v>
      </c>
      <c r="Y59" s="18" t="s">
        <v>259</v>
      </c>
      <c r="Z59" s="129" t="s">
        <v>259</v>
      </c>
      <c r="AA59" s="152">
        <f>V59</f>
        <v>1</v>
      </c>
      <c r="AB59" s="162">
        <f t="shared" si="19"/>
        <v>1</v>
      </c>
      <c r="AC59" s="170" t="s">
        <v>413</v>
      </c>
    </row>
    <row r="60" spans="1:29" s="20" customFormat="1" ht="120" customHeight="1" x14ac:dyDescent="0.25">
      <c r="A60" s="193"/>
      <c r="B60" s="192"/>
      <c r="C60" s="192"/>
      <c r="D60" s="192"/>
      <c r="E60" s="198"/>
      <c r="F60" s="192"/>
      <c r="G60" s="192"/>
      <c r="H60" s="155" t="s">
        <v>55</v>
      </c>
      <c r="I60" s="156" t="s">
        <v>5</v>
      </c>
      <c r="J60" s="154" t="s">
        <v>259</v>
      </c>
      <c r="K60" s="58">
        <v>4</v>
      </c>
      <c r="L60" s="58">
        <v>1</v>
      </c>
      <c r="M60" s="36">
        <v>1</v>
      </c>
      <c r="N60" s="36">
        <v>2</v>
      </c>
      <c r="O60" s="36">
        <v>1</v>
      </c>
      <c r="P60" s="50">
        <f t="shared" si="1"/>
        <v>0.5</v>
      </c>
      <c r="Q60" s="36">
        <f>O60+M60</f>
        <v>2</v>
      </c>
      <c r="R60" s="50">
        <f t="shared" si="16"/>
        <v>0.5</v>
      </c>
      <c r="S60" s="36">
        <v>3</v>
      </c>
      <c r="T60" s="26">
        <f>Q60+2</f>
        <v>4</v>
      </c>
      <c r="U60" s="50">
        <f t="shared" ref="U60:U65" si="23">T60/S60</f>
        <v>1.3333333333333333</v>
      </c>
      <c r="V60" s="26">
        <f>T60</f>
        <v>4</v>
      </c>
      <c r="W60" s="50">
        <f t="shared" si="22"/>
        <v>1</v>
      </c>
      <c r="X60" s="36">
        <v>4</v>
      </c>
      <c r="Y60" s="36">
        <v>5</v>
      </c>
      <c r="Z60" s="129">
        <f>Y60/X60</f>
        <v>1.25</v>
      </c>
      <c r="AA60" s="163">
        <f>Y60</f>
        <v>5</v>
      </c>
      <c r="AB60" s="162">
        <f t="shared" si="19"/>
        <v>1.25</v>
      </c>
      <c r="AC60" s="170" t="s">
        <v>450</v>
      </c>
    </row>
    <row r="61" spans="1:29" s="20" customFormat="1" ht="120" customHeight="1" x14ac:dyDescent="0.25">
      <c r="A61" s="193"/>
      <c r="B61" s="192"/>
      <c r="C61" s="192"/>
      <c r="D61" s="192"/>
      <c r="E61" s="198"/>
      <c r="F61" s="192"/>
      <c r="G61" s="192"/>
      <c r="H61" s="155" t="s">
        <v>344</v>
      </c>
      <c r="I61" s="156" t="s">
        <v>3</v>
      </c>
      <c r="J61" s="157" t="s">
        <v>260</v>
      </c>
      <c r="K61" s="182">
        <v>330</v>
      </c>
      <c r="L61" s="58">
        <v>60</v>
      </c>
      <c r="M61" s="36">
        <v>60</v>
      </c>
      <c r="N61" s="36">
        <v>60</v>
      </c>
      <c r="O61" s="36">
        <v>60</v>
      </c>
      <c r="P61" s="50">
        <f t="shared" si="1"/>
        <v>1</v>
      </c>
      <c r="Q61" s="36">
        <f>O61</f>
        <v>60</v>
      </c>
      <c r="R61" s="50">
        <f t="shared" si="16"/>
        <v>0.18181818181818182</v>
      </c>
      <c r="S61" s="36">
        <v>180</v>
      </c>
      <c r="T61" s="26">
        <v>257</v>
      </c>
      <c r="U61" s="50">
        <f t="shared" si="23"/>
        <v>1.4277777777777778</v>
      </c>
      <c r="V61" s="26">
        <f>T61+Q61</f>
        <v>317</v>
      </c>
      <c r="W61" s="50">
        <f t="shared" si="22"/>
        <v>0.96060606060606057</v>
      </c>
      <c r="X61" s="36">
        <v>330</v>
      </c>
      <c r="Y61" s="36">
        <f>V61+30</f>
        <v>347</v>
      </c>
      <c r="Z61" s="129">
        <f>Y61/X61</f>
        <v>1.0515151515151515</v>
      </c>
      <c r="AA61" s="163">
        <f>Y61</f>
        <v>347</v>
      </c>
      <c r="AB61" s="162">
        <f t="shared" si="19"/>
        <v>1.0515151515151515</v>
      </c>
      <c r="AC61" s="170" t="s">
        <v>438</v>
      </c>
    </row>
    <row r="62" spans="1:29" s="20" customFormat="1" ht="120" customHeight="1" x14ac:dyDescent="0.25">
      <c r="A62" s="193"/>
      <c r="B62" s="192"/>
      <c r="C62" s="192"/>
      <c r="D62" s="192"/>
      <c r="E62" s="198"/>
      <c r="F62" s="192"/>
      <c r="G62" s="192"/>
      <c r="H62" s="59" t="s">
        <v>381</v>
      </c>
      <c r="I62" s="156" t="s">
        <v>3</v>
      </c>
      <c r="J62" s="154" t="s">
        <v>260</v>
      </c>
      <c r="K62" s="58">
        <v>1200</v>
      </c>
      <c r="L62" s="58">
        <v>50</v>
      </c>
      <c r="M62" s="36">
        <v>373</v>
      </c>
      <c r="N62" s="36">
        <v>650</v>
      </c>
      <c r="O62" s="36">
        <v>876</v>
      </c>
      <c r="P62" s="50">
        <f t="shared" si="1"/>
        <v>1.3476923076923077</v>
      </c>
      <c r="Q62" s="36">
        <f>O62</f>
        <v>876</v>
      </c>
      <c r="R62" s="50">
        <f t="shared" si="16"/>
        <v>0.73</v>
      </c>
      <c r="S62" s="36">
        <v>950</v>
      </c>
      <c r="T62" s="26">
        <v>1770</v>
      </c>
      <c r="U62" s="50">
        <f t="shared" si="23"/>
        <v>1.8631578947368421</v>
      </c>
      <c r="V62" s="26">
        <f>T62</f>
        <v>1770</v>
      </c>
      <c r="W62" s="50">
        <f t="shared" si="22"/>
        <v>1.4750000000000001</v>
      </c>
      <c r="X62" s="36">
        <v>1200</v>
      </c>
      <c r="Y62" s="36">
        <f>V62+381</f>
        <v>2151</v>
      </c>
      <c r="Z62" s="129">
        <f>Y62/X62</f>
        <v>1.7925</v>
      </c>
      <c r="AA62" s="163">
        <f>Y62</f>
        <v>2151</v>
      </c>
      <c r="AB62" s="162">
        <f t="shared" si="19"/>
        <v>1.7925</v>
      </c>
      <c r="AC62" s="170" t="s">
        <v>439</v>
      </c>
    </row>
    <row r="63" spans="1:29" s="20" customFormat="1" ht="120" customHeight="1" x14ac:dyDescent="0.25">
      <c r="A63" s="193"/>
      <c r="B63" s="192"/>
      <c r="C63" s="192"/>
      <c r="D63" s="192">
        <v>3</v>
      </c>
      <c r="E63" s="198" t="s">
        <v>346</v>
      </c>
      <c r="F63" s="192">
        <v>3</v>
      </c>
      <c r="G63" s="192" t="s">
        <v>347</v>
      </c>
      <c r="H63" s="155" t="s">
        <v>348</v>
      </c>
      <c r="I63" s="156" t="s">
        <v>133</v>
      </c>
      <c r="J63" s="154" t="s">
        <v>259</v>
      </c>
      <c r="K63" s="154">
        <v>600</v>
      </c>
      <c r="L63" s="154">
        <v>150</v>
      </c>
      <c r="M63" s="18">
        <v>150</v>
      </c>
      <c r="N63" s="18">
        <v>150</v>
      </c>
      <c r="O63" s="18">
        <v>148</v>
      </c>
      <c r="P63" s="50">
        <f t="shared" si="1"/>
        <v>0.98666666666666669</v>
      </c>
      <c r="Q63" s="133">
        <f>O63+M63</f>
        <v>298</v>
      </c>
      <c r="R63" s="50">
        <f t="shared" si="16"/>
        <v>0.49666666666666665</v>
      </c>
      <c r="S63" s="18">
        <v>150</v>
      </c>
      <c r="T63" s="26">
        <v>150</v>
      </c>
      <c r="U63" s="50">
        <f t="shared" si="23"/>
        <v>1</v>
      </c>
      <c r="V63" s="26">
        <v>450</v>
      </c>
      <c r="W63" s="50">
        <f t="shared" si="22"/>
        <v>0.75</v>
      </c>
      <c r="X63" s="18">
        <v>150</v>
      </c>
      <c r="Y63" s="18">
        <v>150</v>
      </c>
      <c r="Z63" s="129">
        <f t="shared" ref="Z63:Z76" si="24">Y63/X63</f>
        <v>1</v>
      </c>
      <c r="AA63" s="26">
        <f>Y63+V63</f>
        <v>600</v>
      </c>
      <c r="AB63" s="129">
        <f t="shared" si="19"/>
        <v>1</v>
      </c>
      <c r="AC63" s="172" t="s">
        <v>418</v>
      </c>
    </row>
    <row r="64" spans="1:29" s="20" customFormat="1" ht="120" customHeight="1" x14ac:dyDescent="0.25">
      <c r="A64" s="193"/>
      <c r="B64" s="192"/>
      <c r="C64" s="192"/>
      <c r="D64" s="192"/>
      <c r="E64" s="198"/>
      <c r="F64" s="192"/>
      <c r="G64" s="192"/>
      <c r="H64" s="155" t="s">
        <v>349</v>
      </c>
      <c r="I64" s="156" t="s">
        <v>142</v>
      </c>
      <c r="J64" s="154" t="s">
        <v>259</v>
      </c>
      <c r="K64" s="154">
        <v>32</v>
      </c>
      <c r="L64" s="154">
        <v>8</v>
      </c>
      <c r="M64" s="18">
        <v>8</v>
      </c>
      <c r="N64" s="18">
        <v>9</v>
      </c>
      <c r="O64" s="18">
        <v>9</v>
      </c>
      <c r="P64" s="50">
        <f t="shared" si="1"/>
        <v>1</v>
      </c>
      <c r="Q64" s="133">
        <f>O64+M64</f>
        <v>17</v>
      </c>
      <c r="R64" s="50">
        <f t="shared" si="16"/>
        <v>0.53125</v>
      </c>
      <c r="S64" s="18">
        <v>9</v>
      </c>
      <c r="T64" s="26">
        <v>9</v>
      </c>
      <c r="U64" s="50">
        <f t="shared" si="23"/>
        <v>1</v>
      </c>
      <c r="V64" s="26">
        <f>Q64+T64</f>
        <v>26</v>
      </c>
      <c r="W64" s="50">
        <f t="shared" si="22"/>
        <v>0.8125</v>
      </c>
      <c r="X64" s="18">
        <v>6</v>
      </c>
      <c r="Y64" s="18">
        <v>7</v>
      </c>
      <c r="Z64" s="129">
        <f t="shared" si="24"/>
        <v>1.1666666666666667</v>
      </c>
      <c r="AA64" s="160">
        <f>V64+Y64</f>
        <v>33</v>
      </c>
      <c r="AB64" s="129">
        <f t="shared" si="19"/>
        <v>1.03125</v>
      </c>
      <c r="AC64" s="170" t="s">
        <v>433</v>
      </c>
    </row>
    <row r="65" spans="1:29" s="20" customFormat="1" ht="120" customHeight="1" x14ac:dyDescent="0.25">
      <c r="A65" s="193">
        <v>8</v>
      </c>
      <c r="B65" s="192" t="s">
        <v>350</v>
      </c>
      <c r="C65" s="196" t="s">
        <v>351</v>
      </c>
      <c r="D65" s="192">
        <v>1</v>
      </c>
      <c r="E65" s="198" t="s">
        <v>58</v>
      </c>
      <c r="F65" s="192">
        <v>1</v>
      </c>
      <c r="G65" s="192" t="s">
        <v>352</v>
      </c>
      <c r="H65" s="155" t="s">
        <v>59</v>
      </c>
      <c r="I65" s="156" t="s">
        <v>157</v>
      </c>
      <c r="J65" s="60">
        <v>0.90600000000000003</v>
      </c>
      <c r="K65" s="61">
        <v>0.91500000000000004</v>
      </c>
      <c r="L65" s="61">
        <v>0.90800000000000003</v>
      </c>
      <c r="M65" s="38">
        <v>0.96</v>
      </c>
      <c r="N65" s="38">
        <v>0.91</v>
      </c>
      <c r="O65" s="38">
        <v>0.95799999999999996</v>
      </c>
      <c r="P65" s="50">
        <f t="shared" si="1"/>
        <v>1.0527472527472526</v>
      </c>
      <c r="Q65" s="50">
        <f t="shared" ref="Q65:Q76" si="25">O65</f>
        <v>0.95799999999999996</v>
      </c>
      <c r="R65" s="50">
        <f t="shared" si="16"/>
        <v>1.0469945355191257</v>
      </c>
      <c r="S65" s="38">
        <v>0.91300000000000003</v>
      </c>
      <c r="T65" s="165">
        <v>0.97699999999999998</v>
      </c>
      <c r="U65" s="50">
        <f t="shared" si="23"/>
        <v>1.0700985761226725</v>
      </c>
      <c r="V65" s="50">
        <f>T65</f>
        <v>0.97699999999999998</v>
      </c>
      <c r="W65" s="50">
        <f>T65/K65</f>
        <v>1.06775956284153</v>
      </c>
      <c r="X65" s="38">
        <v>0.91500000000000004</v>
      </c>
      <c r="Y65" s="21">
        <v>0.33</v>
      </c>
      <c r="Z65" s="129">
        <f t="shared" si="24"/>
        <v>0.36065573770491804</v>
      </c>
      <c r="AA65" s="153">
        <f t="shared" ref="AA65:AA76" si="26">Y65</f>
        <v>0.33</v>
      </c>
      <c r="AB65" s="129">
        <f t="shared" si="19"/>
        <v>0.36065573770491804</v>
      </c>
      <c r="AC65" s="170" t="s">
        <v>458</v>
      </c>
    </row>
    <row r="66" spans="1:29" s="20" customFormat="1" ht="120" customHeight="1" x14ac:dyDescent="0.25">
      <c r="A66" s="193"/>
      <c r="B66" s="192"/>
      <c r="C66" s="196"/>
      <c r="D66" s="192"/>
      <c r="E66" s="198"/>
      <c r="F66" s="192"/>
      <c r="G66" s="192"/>
      <c r="H66" s="156" t="s">
        <v>354</v>
      </c>
      <c r="I66" s="156" t="s">
        <v>60</v>
      </c>
      <c r="J66" s="154" t="s">
        <v>279</v>
      </c>
      <c r="K66" s="49">
        <v>1</v>
      </c>
      <c r="L66" s="49">
        <v>1</v>
      </c>
      <c r="M66" s="21">
        <v>1</v>
      </c>
      <c r="N66" s="21">
        <v>1</v>
      </c>
      <c r="O66" s="21">
        <v>1</v>
      </c>
      <c r="P66" s="50">
        <f t="shared" si="1"/>
        <v>1</v>
      </c>
      <c r="Q66" s="50">
        <f t="shared" si="25"/>
        <v>1</v>
      </c>
      <c r="R66" s="50">
        <f t="shared" si="16"/>
        <v>1</v>
      </c>
      <c r="S66" s="21">
        <v>1</v>
      </c>
      <c r="T66" s="165">
        <v>1</v>
      </c>
      <c r="U66" s="50">
        <f t="shared" ref="U66:U67" si="27">T66/K66</f>
        <v>1</v>
      </c>
      <c r="V66" s="50">
        <v>1</v>
      </c>
      <c r="W66" s="50">
        <f>T66/K66</f>
        <v>1</v>
      </c>
      <c r="X66" s="21">
        <v>1</v>
      </c>
      <c r="Y66" s="21">
        <v>0.5</v>
      </c>
      <c r="Z66" s="129">
        <f t="shared" si="24"/>
        <v>0.5</v>
      </c>
      <c r="AA66" s="153">
        <f t="shared" si="26"/>
        <v>0.5</v>
      </c>
      <c r="AB66" s="129">
        <f t="shared" si="19"/>
        <v>0.5</v>
      </c>
      <c r="AC66" s="170" t="s">
        <v>473</v>
      </c>
    </row>
    <row r="67" spans="1:29" s="20" customFormat="1" ht="120" customHeight="1" x14ac:dyDescent="0.25">
      <c r="A67" s="193"/>
      <c r="B67" s="192"/>
      <c r="C67" s="196"/>
      <c r="D67" s="192"/>
      <c r="E67" s="198"/>
      <c r="F67" s="192"/>
      <c r="G67" s="192"/>
      <c r="H67" s="155" t="s">
        <v>61</v>
      </c>
      <c r="I67" s="156" t="s">
        <v>99</v>
      </c>
      <c r="J67" s="49">
        <v>0.1</v>
      </c>
      <c r="K67" s="49">
        <v>0.1</v>
      </c>
      <c r="L67" s="49">
        <v>0.1</v>
      </c>
      <c r="M67" s="21">
        <v>0.09</v>
      </c>
      <c r="N67" s="21">
        <v>0.1</v>
      </c>
      <c r="O67" s="21">
        <v>0.67</v>
      </c>
      <c r="P67" s="50">
        <f t="shared" si="1"/>
        <v>6.7</v>
      </c>
      <c r="Q67" s="50">
        <f t="shared" si="25"/>
        <v>0.67</v>
      </c>
      <c r="R67" s="50">
        <f t="shared" si="16"/>
        <v>6.7</v>
      </c>
      <c r="S67" s="21">
        <v>0.1</v>
      </c>
      <c r="T67" s="165">
        <v>0</v>
      </c>
      <c r="U67" s="50">
        <f t="shared" si="27"/>
        <v>0</v>
      </c>
      <c r="V67" s="50">
        <v>0</v>
      </c>
      <c r="W67" s="50">
        <f>T67/K67</f>
        <v>0</v>
      </c>
      <c r="X67" s="21">
        <v>0.1</v>
      </c>
      <c r="Y67" s="21">
        <v>0</v>
      </c>
      <c r="Z67" s="179">
        <f t="shared" si="24"/>
        <v>0</v>
      </c>
      <c r="AA67" s="153">
        <f t="shared" si="26"/>
        <v>0</v>
      </c>
      <c r="AB67" s="129">
        <f t="shared" si="19"/>
        <v>0</v>
      </c>
      <c r="AC67" s="170" t="s">
        <v>475</v>
      </c>
    </row>
    <row r="68" spans="1:29" s="20" customFormat="1" ht="120" customHeight="1" x14ac:dyDescent="0.25">
      <c r="A68" s="193"/>
      <c r="B68" s="192"/>
      <c r="C68" s="196"/>
      <c r="D68" s="154">
        <v>2</v>
      </c>
      <c r="E68" s="155" t="s">
        <v>62</v>
      </c>
      <c r="F68" s="154">
        <v>2</v>
      </c>
      <c r="G68" s="154" t="s">
        <v>60</v>
      </c>
      <c r="H68" s="155" t="s">
        <v>355</v>
      </c>
      <c r="I68" s="156" t="s">
        <v>60</v>
      </c>
      <c r="J68" s="52" t="s">
        <v>259</v>
      </c>
      <c r="K68" s="49">
        <v>1</v>
      </c>
      <c r="L68" s="49">
        <v>0.43</v>
      </c>
      <c r="M68" s="21">
        <v>0.43</v>
      </c>
      <c r="N68" s="21">
        <v>0.6</v>
      </c>
      <c r="O68" s="21">
        <v>0.83</v>
      </c>
      <c r="P68" s="50">
        <f t="shared" si="1"/>
        <v>1.3833333333333333</v>
      </c>
      <c r="Q68" s="50">
        <f t="shared" si="25"/>
        <v>0.83</v>
      </c>
      <c r="R68" s="50">
        <f t="shared" si="16"/>
        <v>0.83</v>
      </c>
      <c r="S68" s="21">
        <v>0.8</v>
      </c>
      <c r="T68" s="165">
        <v>1</v>
      </c>
      <c r="U68" s="50">
        <f t="shared" ref="U68:U76" si="28">T68/S68</f>
        <v>1.25</v>
      </c>
      <c r="V68" s="50">
        <v>1</v>
      </c>
      <c r="W68" s="50">
        <f t="shared" ref="W68:W76" si="29">V68/K68</f>
        <v>1</v>
      </c>
      <c r="X68" s="21">
        <v>1</v>
      </c>
      <c r="Y68" s="21">
        <v>0.5</v>
      </c>
      <c r="Z68" s="179">
        <f t="shared" si="24"/>
        <v>0.5</v>
      </c>
      <c r="AA68" s="153">
        <f t="shared" si="26"/>
        <v>0.5</v>
      </c>
      <c r="AB68" s="129">
        <f t="shared" si="19"/>
        <v>0.5</v>
      </c>
      <c r="AC68" s="170" t="s">
        <v>471</v>
      </c>
    </row>
    <row r="69" spans="1:29" s="20" customFormat="1" ht="120" customHeight="1" x14ac:dyDescent="0.25">
      <c r="A69" s="193"/>
      <c r="B69" s="192"/>
      <c r="C69" s="196"/>
      <c r="D69" s="154">
        <v>3</v>
      </c>
      <c r="E69" s="155" t="s">
        <v>63</v>
      </c>
      <c r="F69" s="154">
        <v>3</v>
      </c>
      <c r="G69" s="154" t="s">
        <v>60</v>
      </c>
      <c r="H69" s="155" t="s">
        <v>64</v>
      </c>
      <c r="I69" s="156" t="s">
        <v>60</v>
      </c>
      <c r="J69" s="154" t="s">
        <v>317</v>
      </c>
      <c r="K69" s="49">
        <v>1</v>
      </c>
      <c r="L69" s="49">
        <v>0.6</v>
      </c>
      <c r="M69" s="21">
        <v>0.6</v>
      </c>
      <c r="N69" s="21">
        <v>0.75</v>
      </c>
      <c r="O69" s="21">
        <v>0.85</v>
      </c>
      <c r="P69" s="50">
        <f t="shared" si="1"/>
        <v>1.1333333333333333</v>
      </c>
      <c r="Q69" s="50">
        <f t="shared" si="25"/>
        <v>0.85</v>
      </c>
      <c r="R69" s="50">
        <f t="shared" si="16"/>
        <v>0.85</v>
      </c>
      <c r="S69" s="21">
        <v>0.9</v>
      </c>
      <c r="T69" s="165">
        <v>0.91239999999999999</v>
      </c>
      <c r="U69" s="50">
        <f t="shared" si="28"/>
        <v>1.0137777777777777</v>
      </c>
      <c r="V69" s="50">
        <f>T69</f>
        <v>0.91239999999999999</v>
      </c>
      <c r="W69" s="50">
        <f t="shared" si="29"/>
        <v>0.91239999999999999</v>
      </c>
      <c r="X69" s="21">
        <v>1</v>
      </c>
      <c r="Y69" s="21">
        <v>0.5</v>
      </c>
      <c r="Z69" s="179">
        <f t="shared" si="24"/>
        <v>0.5</v>
      </c>
      <c r="AA69" s="153">
        <f t="shared" si="26"/>
        <v>0.5</v>
      </c>
      <c r="AB69" s="129">
        <f t="shared" si="19"/>
        <v>0.5</v>
      </c>
      <c r="AC69" s="170" t="s">
        <v>472</v>
      </c>
    </row>
    <row r="70" spans="1:29" s="20" customFormat="1" ht="120" customHeight="1" x14ac:dyDescent="0.25">
      <c r="A70" s="193"/>
      <c r="B70" s="192"/>
      <c r="C70" s="196"/>
      <c r="D70" s="154">
        <v>4</v>
      </c>
      <c r="E70" s="155" t="s">
        <v>357</v>
      </c>
      <c r="F70" s="154">
        <v>4</v>
      </c>
      <c r="G70" s="154" t="s">
        <v>66</v>
      </c>
      <c r="H70" s="155" t="s">
        <v>67</v>
      </c>
      <c r="I70" s="156" t="s">
        <v>66</v>
      </c>
      <c r="J70" s="154" t="s">
        <v>279</v>
      </c>
      <c r="K70" s="49">
        <v>1</v>
      </c>
      <c r="L70" s="49">
        <v>1</v>
      </c>
      <c r="M70" s="21">
        <v>0.99</v>
      </c>
      <c r="N70" s="21">
        <v>1</v>
      </c>
      <c r="O70" s="21">
        <v>1</v>
      </c>
      <c r="P70" s="50">
        <f t="shared" si="1"/>
        <v>1</v>
      </c>
      <c r="Q70" s="50">
        <f t="shared" si="25"/>
        <v>1</v>
      </c>
      <c r="R70" s="50">
        <f t="shared" si="16"/>
        <v>1</v>
      </c>
      <c r="S70" s="21">
        <v>1</v>
      </c>
      <c r="T70" s="165">
        <v>1</v>
      </c>
      <c r="U70" s="50">
        <f t="shared" si="28"/>
        <v>1</v>
      </c>
      <c r="V70" s="50">
        <v>1</v>
      </c>
      <c r="W70" s="50">
        <f t="shared" si="29"/>
        <v>1</v>
      </c>
      <c r="X70" s="21">
        <v>1</v>
      </c>
      <c r="Y70" s="21">
        <v>0.5</v>
      </c>
      <c r="Z70" s="179">
        <f t="shared" si="24"/>
        <v>0.5</v>
      </c>
      <c r="AA70" s="153">
        <f t="shared" si="26"/>
        <v>0.5</v>
      </c>
      <c r="AB70" s="129">
        <f t="shared" si="19"/>
        <v>0.5</v>
      </c>
      <c r="AC70" s="170" t="s">
        <v>476</v>
      </c>
    </row>
    <row r="71" spans="1:29" s="20" customFormat="1" ht="120" customHeight="1" x14ac:dyDescent="0.25">
      <c r="A71" s="193"/>
      <c r="B71" s="192"/>
      <c r="C71" s="196"/>
      <c r="D71" s="154">
        <v>5</v>
      </c>
      <c r="E71" s="155" t="s">
        <v>68</v>
      </c>
      <c r="F71" s="154">
        <v>5</v>
      </c>
      <c r="G71" s="154" t="s">
        <v>358</v>
      </c>
      <c r="H71" s="155" t="s">
        <v>359</v>
      </c>
      <c r="I71" s="156" t="s">
        <v>60</v>
      </c>
      <c r="J71" s="154" t="s">
        <v>259</v>
      </c>
      <c r="K71" s="50">
        <v>1</v>
      </c>
      <c r="L71" s="50">
        <v>1</v>
      </c>
      <c r="M71" s="50">
        <v>1</v>
      </c>
      <c r="N71" s="50">
        <v>1</v>
      </c>
      <c r="O71" s="50">
        <v>1</v>
      </c>
      <c r="P71" s="50">
        <f t="shared" ref="P71:P76" si="30">O71/N71</f>
        <v>1</v>
      </c>
      <c r="Q71" s="50">
        <f t="shared" si="25"/>
        <v>1</v>
      </c>
      <c r="R71" s="50">
        <f t="shared" si="16"/>
        <v>1</v>
      </c>
      <c r="S71" s="50">
        <v>1</v>
      </c>
      <c r="T71" s="165">
        <v>1</v>
      </c>
      <c r="U71" s="50">
        <f t="shared" si="28"/>
        <v>1</v>
      </c>
      <c r="V71" s="50">
        <v>1</v>
      </c>
      <c r="W71" s="50">
        <f t="shared" si="29"/>
        <v>1</v>
      </c>
      <c r="X71" s="50">
        <v>1</v>
      </c>
      <c r="Y71" s="50">
        <v>0.5</v>
      </c>
      <c r="Z71" s="179">
        <f t="shared" si="24"/>
        <v>0.5</v>
      </c>
      <c r="AA71" s="164">
        <f t="shared" si="26"/>
        <v>0.5</v>
      </c>
      <c r="AB71" s="129">
        <f t="shared" si="19"/>
        <v>0.5</v>
      </c>
      <c r="AC71" s="170" t="s">
        <v>474</v>
      </c>
    </row>
    <row r="72" spans="1:29" s="20" customFormat="1" ht="120" customHeight="1" x14ac:dyDescent="0.25">
      <c r="A72" s="193"/>
      <c r="B72" s="192"/>
      <c r="C72" s="196"/>
      <c r="D72" s="192">
        <v>6</v>
      </c>
      <c r="E72" s="198" t="s">
        <v>69</v>
      </c>
      <c r="F72" s="192">
        <v>6</v>
      </c>
      <c r="G72" s="192" t="s">
        <v>361</v>
      </c>
      <c r="H72" s="155" t="s">
        <v>362</v>
      </c>
      <c r="I72" s="156" t="s">
        <v>155</v>
      </c>
      <c r="J72" s="185"/>
      <c r="K72" s="49">
        <v>0.9</v>
      </c>
      <c r="L72" s="49">
        <v>0.9</v>
      </c>
      <c r="M72" s="21">
        <v>0.94</v>
      </c>
      <c r="N72" s="21">
        <v>0.9</v>
      </c>
      <c r="O72" s="21">
        <v>1</v>
      </c>
      <c r="P72" s="50">
        <f t="shared" si="30"/>
        <v>1.1111111111111112</v>
      </c>
      <c r="Q72" s="50">
        <f t="shared" si="25"/>
        <v>1</v>
      </c>
      <c r="R72" s="50">
        <f t="shared" si="16"/>
        <v>1.1111111111111112</v>
      </c>
      <c r="S72" s="21">
        <v>0.9</v>
      </c>
      <c r="T72" s="165">
        <v>1.1599999999999999</v>
      </c>
      <c r="U72" s="50">
        <f t="shared" si="28"/>
        <v>1.2888888888888888</v>
      </c>
      <c r="V72" s="50">
        <v>1.1599999999999999</v>
      </c>
      <c r="W72" s="50">
        <f t="shared" si="29"/>
        <v>1.2888888888888888</v>
      </c>
      <c r="X72" s="21">
        <v>0.9</v>
      </c>
      <c r="Y72" s="21">
        <v>0.44</v>
      </c>
      <c r="Z72" s="179">
        <f t="shared" si="24"/>
        <v>0.48888888888888887</v>
      </c>
      <c r="AA72" s="153">
        <f t="shared" si="26"/>
        <v>0.44</v>
      </c>
      <c r="AB72" s="129">
        <f t="shared" si="19"/>
        <v>0.48888888888888887</v>
      </c>
      <c r="AC72" s="170" t="s">
        <v>459</v>
      </c>
    </row>
    <row r="73" spans="1:29" s="20" customFormat="1" ht="120" customHeight="1" x14ac:dyDescent="0.25">
      <c r="A73" s="193"/>
      <c r="B73" s="192"/>
      <c r="C73" s="196"/>
      <c r="D73" s="192"/>
      <c r="E73" s="198"/>
      <c r="F73" s="192"/>
      <c r="G73" s="192"/>
      <c r="H73" s="155" t="s">
        <v>70</v>
      </c>
      <c r="I73" s="156" t="s">
        <v>155</v>
      </c>
      <c r="J73" s="154" t="s">
        <v>260</v>
      </c>
      <c r="K73" s="49">
        <v>0.8</v>
      </c>
      <c r="L73" s="52">
        <v>0.8</v>
      </c>
      <c r="M73" s="22">
        <v>0.94</v>
      </c>
      <c r="N73" s="22">
        <v>0.8</v>
      </c>
      <c r="O73" s="22">
        <v>0.96</v>
      </c>
      <c r="P73" s="50">
        <f t="shared" si="30"/>
        <v>1.2</v>
      </c>
      <c r="Q73" s="50">
        <f t="shared" si="25"/>
        <v>0.96</v>
      </c>
      <c r="R73" s="50">
        <f t="shared" si="16"/>
        <v>1.2</v>
      </c>
      <c r="S73" s="22">
        <v>0.8</v>
      </c>
      <c r="T73" s="165">
        <v>0.96</v>
      </c>
      <c r="U73" s="50">
        <f t="shared" si="28"/>
        <v>1.2</v>
      </c>
      <c r="V73" s="50">
        <v>0.96</v>
      </c>
      <c r="W73" s="50">
        <f t="shared" si="29"/>
        <v>1.2</v>
      </c>
      <c r="X73" s="22">
        <v>0.8</v>
      </c>
      <c r="Y73" s="22">
        <v>0.96599999999999997</v>
      </c>
      <c r="Z73" s="179">
        <f t="shared" si="24"/>
        <v>1.2074999999999998</v>
      </c>
      <c r="AA73" s="153">
        <f t="shared" si="26"/>
        <v>0.96599999999999997</v>
      </c>
      <c r="AB73" s="129">
        <f t="shared" si="19"/>
        <v>1.2074999999999998</v>
      </c>
      <c r="AC73" s="170" t="s">
        <v>460</v>
      </c>
    </row>
    <row r="74" spans="1:29" s="20" customFormat="1" ht="120" customHeight="1" x14ac:dyDescent="0.25">
      <c r="A74" s="193"/>
      <c r="B74" s="192"/>
      <c r="C74" s="196"/>
      <c r="D74" s="154">
        <v>7</v>
      </c>
      <c r="E74" s="155" t="s">
        <v>363</v>
      </c>
      <c r="F74" s="154">
        <v>7</v>
      </c>
      <c r="G74" s="154" t="s">
        <v>364</v>
      </c>
      <c r="H74" s="155" t="s">
        <v>71</v>
      </c>
      <c r="I74" s="156" t="s">
        <v>153</v>
      </c>
      <c r="J74" s="49">
        <v>0.9</v>
      </c>
      <c r="K74" s="49">
        <v>0.96</v>
      </c>
      <c r="L74" s="117">
        <v>0.91</v>
      </c>
      <c r="M74" s="118">
        <v>0.91</v>
      </c>
      <c r="N74" s="118">
        <v>0.92</v>
      </c>
      <c r="O74" s="118">
        <v>0.92</v>
      </c>
      <c r="P74" s="50">
        <f t="shared" si="30"/>
        <v>1</v>
      </c>
      <c r="Q74" s="50">
        <f t="shared" si="25"/>
        <v>0.92</v>
      </c>
      <c r="R74" s="50">
        <f t="shared" si="16"/>
        <v>0.95833333333333337</v>
      </c>
      <c r="S74" s="118">
        <v>0.94</v>
      </c>
      <c r="T74" s="165">
        <v>0.94</v>
      </c>
      <c r="U74" s="50">
        <f t="shared" si="28"/>
        <v>1</v>
      </c>
      <c r="V74" s="50">
        <f>T74</f>
        <v>0.94</v>
      </c>
      <c r="W74" s="50">
        <f t="shared" si="29"/>
        <v>0.97916666666666663</v>
      </c>
      <c r="X74" s="118">
        <v>0.96</v>
      </c>
      <c r="Y74" s="118">
        <v>0.94</v>
      </c>
      <c r="Z74" s="179">
        <f>Y74/X74</f>
        <v>0.97916666666666663</v>
      </c>
      <c r="AA74" s="164">
        <f t="shared" si="26"/>
        <v>0.94</v>
      </c>
      <c r="AB74" s="129">
        <f t="shared" si="19"/>
        <v>0.97916666666666663</v>
      </c>
      <c r="AC74" s="170" t="s">
        <v>456</v>
      </c>
    </row>
    <row r="75" spans="1:29" s="20" customFormat="1" ht="120" customHeight="1" x14ac:dyDescent="0.25">
      <c r="A75" s="193"/>
      <c r="B75" s="192"/>
      <c r="C75" s="196"/>
      <c r="D75" s="154">
        <v>8</v>
      </c>
      <c r="E75" s="155" t="s">
        <v>72</v>
      </c>
      <c r="F75" s="154">
        <v>8</v>
      </c>
      <c r="G75" s="154" t="s">
        <v>366</v>
      </c>
      <c r="H75" s="155" t="s">
        <v>73</v>
      </c>
      <c r="I75" s="156" t="s">
        <v>154</v>
      </c>
      <c r="J75" s="154" t="s">
        <v>260</v>
      </c>
      <c r="K75" s="154">
        <v>7</v>
      </c>
      <c r="L75" s="154">
        <v>2</v>
      </c>
      <c r="M75" s="18">
        <v>2</v>
      </c>
      <c r="N75" s="18">
        <v>4</v>
      </c>
      <c r="O75" s="18">
        <v>4</v>
      </c>
      <c r="P75" s="50">
        <f t="shared" si="30"/>
        <v>1</v>
      </c>
      <c r="Q75" s="133">
        <f t="shared" si="25"/>
        <v>4</v>
      </c>
      <c r="R75" s="50">
        <f t="shared" si="16"/>
        <v>0.5714285714285714</v>
      </c>
      <c r="S75" s="18">
        <v>6</v>
      </c>
      <c r="T75" s="26">
        <v>5</v>
      </c>
      <c r="U75" s="50">
        <f t="shared" si="28"/>
        <v>0.83333333333333337</v>
      </c>
      <c r="V75" s="26">
        <f>T75</f>
        <v>5</v>
      </c>
      <c r="W75" s="50">
        <f t="shared" si="29"/>
        <v>0.7142857142857143</v>
      </c>
      <c r="X75" s="18">
        <v>7</v>
      </c>
      <c r="Y75" s="18">
        <f>V75+1</f>
        <v>6</v>
      </c>
      <c r="Z75" s="179">
        <f t="shared" si="24"/>
        <v>0.8571428571428571</v>
      </c>
      <c r="AA75" s="160">
        <f t="shared" si="26"/>
        <v>6</v>
      </c>
      <c r="AB75" s="129">
        <f t="shared" si="19"/>
        <v>0.8571428571428571</v>
      </c>
      <c r="AC75" s="170" t="s">
        <v>457</v>
      </c>
    </row>
    <row r="76" spans="1:29" s="20" customFormat="1" ht="120" customHeight="1" thickBot="1" x14ac:dyDescent="0.3">
      <c r="A76" s="194"/>
      <c r="B76" s="195"/>
      <c r="C76" s="197"/>
      <c r="D76" s="158">
        <v>9</v>
      </c>
      <c r="E76" s="122" t="s">
        <v>74</v>
      </c>
      <c r="F76" s="158">
        <v>9</v>
      </c>
      <c r="G76" s="158" t="s">
        <v>1</v>
      </c>
      <c r="H76" s="122" t="s">
        <v>75</v>
      </c>
      <c r="I76" s="159" t="s">
        <v>1</v>
      </c>
      <c r="J76" s="64">
        <v>0.75</v>
      </c>
      <c r="K76" s="183">
        <v>0.85</v>
      </c>
      <c r="L76" s="71">
        <v>0.78</v>
      </c>
      <c r="M76" s="127">
        <v>0.89659999999999995</v>
      </c>
      <c r="N76" s="40">
        <v>0.8</v>
      </c>
      <c r="O76" s="40">
        <v>0.88</v>
      </c>
      <c r="P76" s="134">
        <f t="shared" si="30"/>
        <v>1.0999999999999999</v>
      </c>
      <c r="Q76" s="134">
        <f t="shared" si="25"/>
        <v>0.88</v>
      </c>
      <c r="R76" s="134">
        <f t="shared" si="16"/>
        <v>1.0352941176470589</v>
      </c>
      <c r="S76" s="40">
        <v>0.83</v>
      </c>
      <c r="T76" s="184">
        <v>0.88</v>
      </c>
      <c r="U76" s="134">
        <f t="shared" si="28"/>
        <v>1.0602409638554218</v>
      </c>
      <c r="V76" s="134">
        <v>0.88</v>
      </c>
      <c r="W76" s="134">
        <f t="shared" si="29"/>
        <v>1.0352941176470589</v>
      </c>
      <c r="X76" s="40">
        <v>0.85</v>
      </c>
      <c r="Y76" s="40">
        <v>1</v>
      </c>
      <c r="Z76" s="180">
        <f t="shared" si="24"/>
        <v>1.1764705882352942</v>
      </c>
      <c r="AA76" s="168">
        <f t="shared" si="26"/>
        <v>1</v>
      </c>
      <c r="AB76" s="132">
        <f t="shared" si="19"/>
        <v>1.1764705882352942</v>
      </c>
      <c r="AC76" s="224" t="s">
        <v>469</v>
      </c>
    </row>
    <row r="77" spans="1:29" s="20" customFormat="1" ht="26.45" customHeight="1" x14ac:dyDescent="0.25">
      <c r="A77" s="138"/>
      <c r="B77" s="138"/>
      <c r="C77" s="139"/>
      <c r="D77" s="138"/>
      <c r="E77" s="140"/>
      <c r="F77" s="138"/>
      <c r="G77" s="138"/>
      <c r="H77" s="140"/>
      <c r="I77" s="138"/>
      <c r="J77" s="141"/>
      <c r="K77" s="142"/>
      <c r="L77" s="143"/>
      <c r="M77" s="144"/>
      <c r="N77" s="136"/>
      <c r="O77" s="136"/>
      <c r="P77" s="135"/>
      <c r="Q77" s="135"/>
      <c r="R77" s="135"/>
      <c r="S77" s="145"/>
      <c r="T77" s="146"/>
      <c r="U77" s="147"/>
      <c r="V77" s="147"/>
      <c r="W77" s="147"/>
      <c r="X77" s="136"/>
      <c r="Y77" s="136"/>
      <c r="Z77" s="148"/>
      <c r="AA77" s="148"/>
      <c r="AB77" s="148"/>
      <c r="AC77" s="148"/>
    </row>
    <row r="78" spans="1:29" x14ac:dyDescent="0.2">
      <c r="N78" s="218" t="s">
        <v>389</v>
      </c>
      <c r="O78" s="218"/>
      <c r="P78" s="48"/>
    </row>
    <row r="79" spans="1:29" x14ac:dyDescent="0.2">
      <c r="N79" s="187" t="s">
        <v>390</v>
      </c>
      <c r="O79" s="188">
        <f>AVERAGE(AB5:AB12)</f>
        <v>1.4848917748917749</v>
      </c>
      <c r="P79" s="48"/>
    </row>
    <row r="80" spans="1:29" x14ac:dyDescent="0.2">
      <c r="N80" s="187" t="s">
        <v>391</v>
      </c>
      <c r="O80" s="188">
        <f>AVERAGE(AB13:AB21)</f>
        <v>0.97259444926476291</v>
      </c>
      <c r="P80" s="48"/>
    </row>
    <row r="81" spans="14:16" x14ac:dyDescent="0.2">
      <c r="N81" s="187" t="s">
        <v>392</v>
      </c>
      <c r="O81" s="188">
        <f>AVERAGE(AB22:AB36)</f>
        <v>1.1238766948402883</v>
      </c>
      <c r="P81" s="48"/>
    </row>
    <row r="82" spans="14:16" x14ac:dyDescent="0.2">
      <c r="N82" s="187" t="s">
        <v>393</v>
      </c>
      <c r="O82" s="188">
        <f>AVERAGE(AB37:AB39)</f>
        <v>1.1135711940083333</v>
      </c>
      <c r="P82" s="48"/>
    </row>
    <row r="83" spans="14:16" x14ac:dyDescent="0.2">
      <c r="N83" s="187" t="s">
        <v>394</v>
      </c>
      <c r="O83" s="188">
        <f>AVERAGE(AB40:AB44)</f>
        <v>0.8116254294084323</v>
      </c>
      <c r="P83" s="48"/>
    </row>
    <row r="84" spans="14:16" x14ac:dyDescent="0.2">
      <c r="N84" s="187" t="s">
        <v>395</v>
      </c>
      <c r="O84" s="188">
        <f>AVERAGE(AB45:AB54)</f>
        <v>1.0047805326565558</v>
      </c>
      <c r="P84" s="48"/>
    </row>
    <row r="85" spans="14:16" x14ac:dyDescent="0.2">
      <c r="N85" s="187" t="s">
        <v>396</v>
      </c>
      <c r="O85" s="188">
        <f>AVERAGE(AB55:AB64)</f>
        <v>1.0187117451972136</v>
      </c>
      <c r="P85" s="48"/>
    </row>
    <row r="86" spans="14:16" x14ac:dyDescent="0.2">
      <c r="N86" s="187" t="s">
        <v>397</v>
      </c>
      <c r="O86" s="188">
        <f>AVERAGE(AB65:AB76)</f>
        <v>0.63081872821988538</v>
      </c>
      <c r="P86" s="48"/>
    </row>
    <row r="87" spans="14:16" x14ac:dyDescent="0.2">
      <c r="N87" s="187" t="s">
        <v>398</v>
      </c>
      <c r="O87" s="188">
        <f>AVERAGE(O79:O86)</f>
        <v>1.020108818560906</v>
      </c>
      <c r="P87" s="48"/>
    </row>
  </sheetData>
  <autoFilter ref="A4:AE76" xr:uid="{A20A82E7-32A5-44A7-8C4A-27A970CA5759}"/>
  <mergeCells count="105">
    <mergeCell ref="C13:C21"/>
    <mergeCell ref="D13:D15"/>
    <mergeCell ref="E13:E15"/>
    <mergeCell ref="F13:F15"/>
    <mergeCell ref="G13:G15"/>
    <mergeCell ref="A1:E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A13:A21"/>
    <mergeCell ref="B13:B21"/>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F72:F73"/>
    <mergeCell ref="G72:G73"/>
    <mergeCell ref="G47:G49"/>
    <mergeCell ref="G45:G46"/>
    <mergeCell ref="D50:D51"/>
    <mergeCell ref="E50:E51"/>
    <mergeCell ref="F50:F51"/>
    <mergeCell ref="G55:G58"/>
    <mergeCell ref="D59:D62"/>
    <mergeCell ref="E59:E62"/>
    <mergeCell ref="F59:F62"/>
    <mergeCell ref="G59:G62"/>
    <mergeCell ref="N78:O78"/>
    <mergeCell ref="F1:AC1"/>
    <mergeCell ref="A65:A76"/>
    <mergeCell ref="B65:B76"/>
    <mergeCell ref="C65:C76"/>
    <mergeCell ref="D65:D67"/>
    <mergeCell ref="E65:E67"/>
    <mergeCell ref="F65:F67"/>
    <mergeCell ref="D47:D49"/>
    <mergeCell ref="E47:E49"/>
    <mergeCell ref="F47:F49"/>
    <mergeCell ref="A55:A64"/>
    <mergeCell ref="B55:B64"/>
    <mergeCell ref="C55:C64"/>
    <mergeCell ref="D55:D58"/>
    <mergeCell ref="E55:E58"/>
    <mergeCell ref="F55:F58"/>
    <mergeCell ref="D63:D64"/>
    <mergeCell ref="E63:E64"/>
    <mergeCell ref="F63:F64"/>
    <mergeCell ref="G63:G64"/>
    <mergeCell ref="G65:G67"/>
    <mergeCell ref="D72:D73"/>
    <mergeCell ref="E72:E73"/>
  </mergeCells>
  <phoneticPr fontId="20" type="noConversion"/>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H7EN5MXTHQNV-1281-20</_dlc_DocId>
    <_dlc_DocIdUrl xmlns="ae9388c0-b1e2-40ea-b6a8-c51c7913cbd2">
      <Url>https://www.mincultura.gov.co/ministerio/oficinas-y-grupos/oficina%20asesora%20de%20planeacion/planeacion%20estrategica/_layouts/15/DocIdRedir.aspx?ID=H7EN5MXTHQNV-1281-20</Url>
      <Description>H7EN5MXTHQNV-1281-20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5EDB62-306D-445E-A5D2-6EF7A420C614}"/>
</file>

<file path=customXml/itemProps2.xml><?xml version="1.0" encoding="utf-8"?>
<ds:datastoreItem xmlns:ds="http://schemas.openxmlformats.org/officeDocument/2006/customXml" ds:itemID="{A8A2B0A4-BB74-426F-B44F-5F6399A6DAE9}"/>
</file>

<file path=customXml/itemProps3.xml><?xml version="1.0" encoding="utf-8"?>
<ds:datastoreItem xmlns:ds="http://schemas.openxmlformats.org/officeDocument/2006/customXml" ds:itemID="{913BEF97-49B6-4944-860D-1D33FE5F24D1}"/>
</file>

<file path=customXml/itemProps4.xml><?xml version="1.0" encoding="utf-8"?>
<ds:datastoreItem xmlns:ds="http://schemas.openxmlformats.org/officeDocument/2006/customXml" ds:itemID="{CD8A58DF-E8A4-40D1-9F35-EB44332DA0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2019-2022</vt:lpstr>
      <vt:lpstr>'PEI 2019-2022'!Área_de_impresión</vt:lpstr>
      <vt:lpstr>'Plan_Estrategico_Institucio_(0)'!Área_de_impresión</vt:lpstr>
      <vt:lpstr>'PEI 2019-2022'!Títulos_a_imprimir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Maria Juliana Zamora Nieto</cp:lastModifiedBy>
  <cp:lastPrinted>2020-10-27T17:22:42Z</cp:lastPrinted>
  <dcterms:created xsi:type="dcterms:W3CDTF">2019-10-09T19:55:58Z</dcterms:created>
  <dcterms:modified xsi:type="dcterms:W3CDTF">2022-07-21T20:38:39Z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f16218fb-df4b-4b5b-9b5c-84dee481f3d0</vt:lpwstr>
  </property>
</Properties>
</file>