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G:\PC 2022\"/>
    </mc:Choice>
  </mc:AlternateContent>
  <xr:revisionPtr revIDLastSave="0" documentId="13_ncr:1_{6D018874-6EC9-4613-AC1A-28C3953310BF}" xr6:coauthVersionLast="45" xr6:coauthVersionMax="47" xr10:uidLastSave="{00000000-0000-0000-0000-000000000000}"/>
  <bookViews>
    <workbookView xWindow="-120" yWindow="-120" windowWidth="29040" windowHeight="15840" tabRatio="940" firstSheet="3" activeTab="3" xr2:uid="{00000000-000D-0000-FFFF-FFFF00000000}"/>
  </bookViews>
  <sheets>
    <sheet name="PEI_2019" sheetId="8" state="hidden" r:id="rId1"/>
    <sheet name="Tbla" sheetId="10" state="hidden" r:id="rId2"/>
    <sheet name="Plan_Estrategico_Institucio_(0)" sheetId="11" state="hidden" r:id="rId3"/>
    <sheet name="PEI 2019-2022" sheetId="24" r:id="rId4"/>
  </sheets>
  <definedNames>
    <definedName name="_xlnm._FilterDatabase" localSheetId="3" hidden="1">'PEI 2019-2022'!$A$4:$AE$76</definedName>
    <definedName name="_xlnm._FilterDatabase" localSheetId="2" hidden="1">'Plan_Estrategico_Institucio_(0)'!$A$4:$W$77</definedName>
    <definedName name="_xlnm.Print_Area" localSheetId="3">'PEI 2019-2022'!$A$1:$X$76</definedName>
    <definedName name="_xlnm.Print_Area" localSheetId="2">'Plan_Estrategico_Institucio_(0)'!$A$1:$R$83</definedName>
    <definedName name="kronos_MCSIG_PPP" localSheetId="0" hidden="1">PEI_2019!$A$1:$L$77</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3">'PEI 2019-2022'!$4:$4</definedName>
    <definedName name="_xlnm.Print_Titles" localSheetId="2">'Plan_Estrategico_Institucio_(0)'!$4:$4</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9" i="24" l="1"/>
  <c r="AA39" i="24"/>
  <c r="Z39" i="24"/>
  <c r="Z17" i="24" l="1"/>
  <c r="AA16" i="24"/>
  <c r="AB16" i="24" s="1"/>
  <c r="Z16" i="24"/>
  <c r="Z11" i="24"/>
  <c r="AA76" i="24" l="1"/>
  <c r="AB76" i="24" s="1"/>
  <c r="Z76" i="24"/>
  <c r="AA74" i="24"/>
  <c r="AB74" i="24" s="1"/>
  <c r="Z74" i="24"/>
  <c r="AA73" i="24"/>
  <c r="AB73" i="24" s="1"/>
  <c r="Z73" i="24"/>
  <c r="AA72" i="24"/>
  <c r="AB72" i="24"/>
  <c r="Z72" i="24"/>
  <c r="AA71" i="24"/>
  <c r="AB71" i="24" s="1"/>
  <c r="Z71" i="24"/>
  <c r="Z70" i="24"/>
  <c r="AA70" i="24"/>
  <c r="AB70" i="24" s="1"/>
  <c r="AA69" i="24"/>
  <c r="AB69" i="24" s="1"/>
  <c r="Z69" i="24"/>
  <c r="AA68" i="24"/>
  <c r="AB68" i="24" s="1"/>
  <c r="Z68" i="24"/>
  <c r="AA67" i="24"/>
  <c r="AB67" i="24" s="1"/>
  <c r="Z67" i="24"/>
  <c r="AA66" i="24"/>
  <c r="AB66" i="24" s="1"/>
  <c r="Z66" i="24"/>
  <c r="AA65" i="24"/>
  <c r="AB65" i="24" s="1"/>
  <c r="Z65" i="24"/>
  <c r="Z64" i="24"/>
  <c r="Z58" i="24"/>
  <c r="AA56" i="24"/>
  <c r="AB56" i="24" s="1"/>
  <c r="Z56" i="24"/>
  <c r="AA50" i="24"/>
  <c r="Z34" i="24"/>
  <c r="AA41" i="24" l="1"/>
  <c r="AB41" i="24" s="1"/>
  <c r="Z41" i="24"/>
  <c r="AA40" i="24"/>
  <c r="AB40" i="24" s="1"/>
  <c r="Z40" i="24"/>
  <c r="AA12" i="24" l="1"/>
  <c r="AB12" i="24" s="1"/>
  <c r="Z12" i="24"/>
  <c r="AA25" i="24"/>
  <c r="AB25" i="24" s="1"/>
  <c r="Z25" i="24"/>
  <c r="Z21" i="24"/>
  <c r="Z10" i="24"/>
  <c r="AA60" i="24"/>
  <c r="AB60" i="24" s="1"/>
  <c r="Z60" i="24"/>
  <c r="AA59" i="24"/>
  <c r="AB59" i="24" s="1"/>
  <c r="AA53" i="24"/>
  <c r="AB53" i="24" s="1"/>
  <c r="Z53" i="24" l="1"/>
  <c r="AA52" i="24"/>
  <c r="AB52" i="24" s="1"/>
  <c r="Z52" i="24"/>
  <c r="AA48" i="24"/>
  <c r="AB48" i="24" s="1"/>
  <c r="Z48" i="24"/>
  <c r="AA47" i="24"/>
  <c r="AB47" i="24" s="1"/>
  <c r="Z47" i="24"/>
  <c r="AA46" i="24"/>
  <c r="AB46" i="24" s="1"/>
  <c r="AA45" i="24"/>
  <c r="AB45" i="24" s="1"/>
  <c r="Z45" i="24"/>
  <c r="AA14" i="24" l="1"/>
  <c r="AB14" i="24" s="1"/>
  <c r="Z14" i="24"/>
  <c r="AA13" i="24"/>
  <c r="AB13" i="24" s="1"/>
  <c r="Z13" i="24"/>
  <c r="Z51" i="24"/>
  <c r="AA43" i="24"/>
  <c r="AB43" i="24" s="1"/>
  <c r="Z43" i="24"/>
  <c r="AB49" i="24"/>
  <c r="Z49" i="24"/>
  <c r="AA29" i="24"/>
  <c r="AB29" i="24" s="1"/>
  <c r="Z29" i="24"/>
  <c r="AA28" i="24"/>
  <c r="AB28" i="24" s="1"/>
  <c r="Z28" i="24"/>
  <c r="AA63" i="24"/>
  <c r="AB63" i="24" s="1"/>
  <c r="AA24" i="24"/>
  <c r="AB24" i="24" s="1"/>
  <c r="Z63" i="24"/>
  <c r="Z24" i="24"/>
  <c r="AB50" i="24" l="1"/>
  <c r="W6" i="24"/>
  <c r="Y6" i="24"/>
  <c r="Z6" i="24" l="1"/>
  <c r="AA6" i="24"/>
  <c r="AB6" i="24" s="1"/>
  <c r="U13" i="24"/>
  <c r="V13" i="24"/>
  <c r="W13" i="24" s="1"/>
  <c r="U39" i="24"/>
  <c r="U56" i="24"/>
  <c r="W56" i="24"/>
  <c r="U76" i="24" l="1"/>
  <c r="W76" i="24"/>
  <c r="U75" i="24"/>
  <c r="V75" i="24"/>
  <c r="W75" i="24" l="1"/>
  <c r="Y75" i="24"/>
  <c r="U74" i="24"/>
  <c r="V74" i="24"/>
  <c r="W74" i="24" s="1"/>
  <c r="W73" i="24"/>
  <c r="U73" i="24"/>
  <c r="W72" i="24"/>
  <c r="U72" i="24"/>
  <c r="U71" i="24"/>
  <c r="W71" i="24"/>
  <c r="W70" i="24"/>
  <c r="U70" i="24"/>
  <c r="W68" i="24"/>
  <c r="U68" i="24"/>
  <c r="U69" i="24"/>
  <c r="V69" i="24"/>
  <c r="W69" i="24" s="1"/>
  <c r="W65" i="24"/>
  <c r="U65" i="24"/>
  <c r="V65" i="24"/>
  <c r="U64" i="24"/>
  <c r="U62" i="24"/>
  <c r="V62" i="24"/>
  <c r="U58" i="24"/>
  <c r="Q58" i="24"/>
  <c r="V58" i="24" s="1"/>
  <c r="U61" i="24"/>
  <c r="W59" i="24"/>
  <c r="W63" i="24"/>
  <c r="U63" i="24"/>
  <c r="U57" i="24"/>
  <c r="V57" i="24"/>
  <c r="U55" i="24"/>
  <c r="V55" i="24"/>
  <c r="U53" i="24"/>
  <c r="U24" i="24"/>
  <c r="U28" i="24"/>
  <c r="U29" i="24"/>
  <c r="U40" i="24"/>
  <c r="U45" i="24"/>
  <c r="U52" i="24"/>
  <c r="V53" i="24"/>
  <c r="W53" i="24" s="1"/>
  <c r="W52" i="24"/>
  <c r="U51" i="24"/>
  <c r="U49" i="24"/>
  <c r="W58" i="24" l="1"/>
  <c r="AA58" i="24"/>
  <c r="AB58" i="24" s="1"/>
  <c r="W62" i="24"/>
  <c r="Y62" i="24"/>
  <c r="W55" i="24"/>
  <c r="Y55" i="24"/>
  <c r="W57" i="24"/>
  <c r="Y57" i="24"/>
  <c r="AA75" i="24"/>
  <c r="AB75" i="24" s="1"/>
  <c r="O86" i="24" s="1"/>
  <c r="Z75" i="24"/>
  <c r="W47" i="24"/>
  <c r="Z57" i="24" l="1"/>
  <c r="AA57" i="24"/>
  <c r="AB57" i="24" s="1"/>
  <c r="Z55" i="24"/>
  <c r="AA55" i="24"/>
  <c r="AB55" i="24" s="1"/>
  <c r="Z62" i="24"/>
  <c r="AA62" i="24"/>
  <c r="AB62" i="24" s="1"/>
  <c r="W46" i="24"/>
  <c r="W45" i="24"/>
  <c r="U46" i="24"/>
  <c r="U34" i="24"/>
  <c r="V40" i="24"/>
  <c r="W40" i="24" s="1"/>
  <c r="V39" i="24" l="1"/>
  <c r="W39" i="24" s="1"/>
  <c r="U37" i="24"/>
  <c r="V37" i="24"/>
  <c r="U33" i="24"/>
  <c r="V33" i="24"/>
  <c r="Y33" i="24" s="1"/>
  <c r="V25" i="24"/>
  <c r="W25" i="24" s="1"/>
  <c r="V29" i="24"/>
  <c r="W29" i="24" s="1"/>
  <c r="Z33" i="24" l="1"/>
  <c r="AA33" i="24"/>
  <c r="AB33" i="24" s="1"/>
  <c r="W37" i="24"/>
  <c r="AA37" i="24"/>
  <c r="AB37" i="24" s="1"/>
  <c r="W33" i="24"/>
  <c r="V28" i="24"/>
  <c r="W28" i="24" s="1"/>
  <c r="V24" i="24"/>
  <c r="W24" i="24" s="1"/>
  <c r="V21" i="24"/>
  <c r="V17" i="24"/>
  <c r="V16" i="24"/>
  <c r="W16" i="24" s="1"/>
  <c r="V14" i="24"/>
  <c r="V12" i="24"/>
  <c r="W12" i="24" s="1"/>
  <c r="V11" i="24"/>
  <c r="V8" i="24"/>
  <c r="V6" i="24"/>
  <c r="U20" i="24"/>
  <c r="U19" i="24"/>
  <c r="Q10" i="24"/>
  <c r="V10" i="24" s="1"/>
  <c r="W66" i="24"/>
  <c r="W67" i="24"/>
  <c r="U6" i="24"/>
  <c r="U25" i="24"/>
  <c r="U21" i="24"/>
  <c r="U17" i="24"/>
  <c r="U16" i="24"/>
  <c r="U12" i="24"/>
  <c r="U10" i="24"/>
  <c r="U7" i="24"/>
  <c r="W8" i="24" l="1"/>
  <c r="AA8" i="24"/>
  <c r="AB8" i="24" s="1"/>
  <c r="W11" i="24"/>
  <c r="AA11" i="24"/>
  <c r="AB11" i="24" s="1"/>
  <c r="W17" i="24"/>
  <c r="AA17" i="24"/>
  <c r="AB17" i="24" s="1"/>
  <c r="W10" i="24"/>
  <c r="AA10" i="24"/>
  <c r="AB10" i="24" s="1"/>
  <c r="W21" i="24"/>
  <c r="AA21" i="24"/>
  <c r="AB21" i="24" s="1"/>
  <c r="W14" i="24"/>
  <c r="U8" i="24"/>
  <c r="U14" i="24"/>
  <c r="U67" i="24" l="1"/>
  <c r="U66" i="24"/>
  <c r="Q76" i="24"/>
  <c r="R76" i="24" s="1"/>
  <c r="P76" i="24"/>
  <c r="Q75" i="24"/>
  <c r="R75" i="24" s="1"/>
  <c r="P75" i="24"/>
  <c r="Q74" i="24"/>
  <c r="R74" i="24" s="1"/>
  <c r="P74" i="24"/>
  <c r="Q73" i="24"/>
  <c r="R73" i="24" s="1"/>
  <c r="P73" i="24"/>
  <c r="Q72" i="24"/>
  <c r="R72" i="24" s="1"/>
  <c r="P72" i="24"/>
  <c r="Q71" i="24"/>
  <c r="R71" i="24" s="1"/>
  <c r="P71" i="24"/>
  <c r="Q70" i="24"/>
  <c r="R70" i="24" s="1"/>
  <c r="P70" i="24"/>
  <c r="Q69" i="24"/>
  <c r="R69" i="24" s="1"/>
  <c r="P69" i="24"/>
  <c r="Q68" i="24"/>
  <c r="R68" i="24" s="1"/>
  <c r="P68" i="24"/>
  <c r="Q67" i="24"/>
  <c r="R67" i="24" s="1"/>
  <c r="P67" i="24"/>
  <c r="Q66" i="24"/>
  <c r="R66" i="24" s="1"/>
  <c r="P66" i="24"/>
  <c r="Q65" i="24"/>
  <c r="R65" i="24" s="1"/>
  <c r="P65" i="24"/>
  <c r="Q64" i="24"/>
  <c r="P64" i="24"/>
  <c r="Q63" i="24"/>
  <c r="R63" i="24" s="1"/>
  <c r="P63" i="24"/>
  <c r="Q62" i="24"/>
  <c r="R62" i="24" s="1"/>
  <c r="P62" i="24"/>
  <c r="Q61" i="24"/>
  <c r="P61" i="24"/>
  <c r="Q60" i="24"/>
  <c r="R60" i="24" s="1"/>
  <c r="P60" i="24"/>
  <c r="R59" i="24"/>
  <c r="R58" i="24"/>
  <c r="P58" i="24"/>
  <c r="Q57" i="24"/>
  <c r="R57" i="24" s="1"/>
  <c r="P57" i="24"/>
  <c r="Q56" i="24"/>
  <c r="R56" i="24" s="1"/>
  <c r="P56" i="24"/>
  <c r="Q55" i="24"/>
  <c r="R55" i="24" s="1"/>
  <c r="P55" i="24"/>
  <c r="Q54" i="24"/>
  <c r="P54" i="24"/>
  <c r="Q53" i="24"/>
  <c r="R53" i="24" s="1"/>
  <c r="P53" i="24"/>
  <c r="Q52" i="24"/>
  <c r="R52" i="24" s="1"/>
  <c r="P52" i="24"/>
  <c r="Q51" i="24"/>
  <c r="P51" i="24"/>
  <c r="Q50" i="24"/>
  <c r="R50" i="24" s="1"/>
  <c r="P50" i="24"/>
  <c r="Q49" i="24"/>
  <c r="R49" i="24" s="1"/>
  <c r="P49" i="24"/>
  <c r="Q48" i="24"/>
  <c r="P48" i="24"/>
  <c r="Q47" i="24"/>
  <c r="R47" i="24" s="1"/>
  <c r="P47" i="24"/>
  <c r="Q46" i="24"/>
  <c r="R46" i="24" s="1"/>
  <c r="P46" i="24"/>
  <c r="Q45" i="24"/>
  <c r="R45" i="24" s="1"/>
  <c r="P45" i="24"/>
  <c r="Q44" i="24"/>
  <c r="P44" i="24"/>
  <c r="Q43" i="24"/>
  <c r="P43" i="24"/>
  <c r="Q42" i="24"/>
  <c r="P42" i="24"/>
  <c r="Q40" i="24"/>
  <c r="R40" i="24" s="1"/>
  <c r="P40" i="24"/>
  <c r="Q39" i="24"/>
  <c r="R39" i="24" s="1"/>
  <c r="P39" i="24"/>
  <c r="Q38" i="24"/>
  <c r="P38" i="24"/>
  <c r="Q37" i="24"/>
  <c r="R37" i="24" s="1"/>
  <c r="P37" i="24"/>
  <c r="Q36" i="24"/>
  <c r="P36" i="24"/>
  <c r="Q35" i="24"/>
  <c r="P35" i="24"/>
  <c r="Q34" i="24"/>
  <c r="P34" i="24"/>
  <c r="Q33" i="24"/>
  <c r="R33" i="24" s="1"/>
  <c r="P33" i="24"/>
  <c r="Q32" i="24"/>
  <c r="Q31" i="24"/>
  <c r="P31" i="24"/>
  <c r="Q30" i="24"/>
  <c r="P30" i="24"/>
  <c r="Q29" i="24"/>
  <c r="R29" i="24" s="1"/>
  <c r="P29" i="24"/>
  <c r="Q28" i="24"/>
  <c r="R28" i="24" s="1"/>
  <c r="P28" i="24"/>
  <c r="Q27" i="24"/>
  <c r="P27" i="24"/>
  <c r="Q26" i="24"/>
  <c r="P26" i="24"/>
  <c r="Q25" i="24"/>
  <c r="R25" i="24" s="1"/>
  <c r="P25" i="24"/>
  <c r="Q24" i="24"/>
  <c r="R24" i="24" s="1"/>
  <c r="P24" i="24"/>
  <c r="Q23" i="24"/>
  <c r="R23" i="24" s="1"/>
  <c r="P23" i="24"/>
  <c r="Q22" i="24"/>
  <c r="R22" i="24" s="1"/>
  <c r="P22" i="24"/>
  <c r="Q21" i="24"/>
  <c r="R21" i="24" s="1"/>
  <c r="P21" i="24"/>
  <c r="Q20" i="24"/>
  <c r="V20" i="24" s="1"/>
  <c r="P20" i="24"/>
  <c r="Q19" i="24"/>
  <c r="P19" i="24"/>
  <c r="Q18" i="24"/>
  <c r="P18" i="24"/>
  <c r="U18" i="24" s="1"/>
  <c r="Q17" i="24"/>
  <c r="R17" i="24" s="1"/>
  <c r="P17" i="24"/>
  <c r="Q16" i="24"/>
  <c r="R16" i="24" s="1"/>
  <c r="P16" i="24"/>
  <c r="Q15" i="24"/>
  <c r="V15" i="24" s="1"/>
  <c r="W15" i="24" s="1"/>
  <c r="AB15" i="24" s="1"/>
  <c r="P15" i="24"/>
  <c r="Q14" i="24"/>
  <c r="R14" i="24" s="1"/>
  <c r="P14" i="24"/>
  <c r="Q13" i="24"/>
  <c r="R13" i="24" s="1"/>
  <c r="P13" i="24"/>
  <c r="Q12" i="24"/>
  <c r="R12" i="24" s="1"/>
  <c r="P12" i="24"/>
  <c r="R11" i="24"/>
  <c r="P11" i="24"/>
  <c r="P10" i="24"/>
  <c r="Q9" i="24"/>
  <c r="R9" i="24" s="1"/>
  <c r="P9" i="24"/>
  <c r="Q7" i="24"/>
  <c r="V7" i="24" s="1"/>
  <c r="P7" i="24"/>
  <c r="Q6" i="24"/>
  <c r="R6" i="24" s="1"/>
  <c r="P6" i="24"/>
  <c r="W7" i="24" l="1"/>
  <c r="AA7" i="24"/>
  <c r="AB7" i="24" s="1"/>
  <c r="W20" i="24"/>
  <c r="AA20" i="24"/>
  <c r="AB20" i="24" s="1"/>
  <c r="R36" i="24"/>
  <c r="T36" i="24"/>
  <c r="R42" i="24"/>
  <c r="T42" i="24"/>
  <c r="R54" i="24"/>
  <c r="T54" i="24"/>
  <c r="R44" i="24"/>
  <c r="T44" i="24"/>
  <c r="R48" i="24"/>
  <c r="T48" i="24"/>
  <c r="R32" i="24"/>
  <c r="U32" i="24" s="1"/>
  <c r="V32" i="24"/>
  <c r="R34" i="24"/>
  <c r="V34" i="24"/>
  <c r="R38" i="24"/>
  <c r="T38" i="24"/>
  <c r="R51" i="24"/>
  <c r="V51" i="24"/>
  <c r="R18" i="24"/>
  <c r="V18" i="24"/>
  <c r="R64" i="24"/>
  <c r="V64" i="24"/>
  <c r="R35" i="24"/>
  <c r="T35" i="24"/>
  <c r="R19" i="24"/>
  <c r="V19" i="24"/>
  <c r="R31" i="24"/>
  <c r="T31" i="24"/>
  <c r="R61" i="24"/>
  <c r="V61" i="24"/>
  <c r="R15" i="24"/>
  <c r="R20" i="24"/>
  <c r="R7" i="24"/>
  <c r="R10" i="24"/>
  <c r="R30" i="24"/>
  <c r="T30" i="24"/>
  <c r="V30" i="24" s="1"/>
  <c r="R27" i="24"/>
  <c r="T27" i="24"/>
  <c r="V27" i="24" s="1"/>
  <c r="R26" i="24"/>
  <c r="T26" i="24"/>
  <c r="R43" i="24"/>
  <c r="T43" i="24"/>
  <c r="T23" i="24"/>
  <c r="T60" i="24"/>
  <c r="T22" i="24"/>
  <c r="T9" i="24"/>
  <c r="V9" i="24" s="1"/>
  <c r="T47" i="24"/>
  <c r="W64" i="24" l="1"/>
  <c r="AA64" i="24"/>
  <c r="AB64" i="24" s="1"/>
  <c r="W34" i="24"/>
  <c r="AA34" i="24"/>
  <c r="AB34" i="24" s="1"/>
  <c r="O79" i="24"/>
  <c r="W61" i="24"/>
  <c r="Y61" i="24"/>
  <c r="W30" i="24"/>
  <c r="Y30" i="24"/>
  <c r="W18" i="24"/>
  <c r="AB18" i="24" s="1"/>
  <c r="AA18" i="24"/>
  <c r="W32" i="24"/>
  <c r="AB32" i="24" s="1"/>
  <c r="AA32" i="24"/>
  <c r="W19" i="24"/>
  <c r="AA19" i="24"/>
  <c r="AB19" i="24" s="1"/>
  <c r="W9" i="24"/>
  <c r="AA9" i="24"/>
  <c r="AB9" i="24" s="1"/>
  <c r="W27" i="24"/>
  <c r="AA27" i="24"/>
  <c r="AB27" i="24" s="1"/>
  <c r="W51" i="24"/>
  <c r="AA51" i="24"/>
  <c r="AB51" i="24" s="1"/>
  <c r="V22" i="24"/>
  <c r="W22" i="24" s="1"/>
  <c r="AA22" i="24"/>
  <c r="AB22" i="24" s="1"/>
  <c r="V23" i="24"/>
  <c r="W23" i="24" s="1"/>
  <c r="AA23" i="24"/>
  <c r="AB23" i="24" s="1"/>
  <c r="W54" i="24"/>
  <c r="U54" i="24"/>
  <c r="V54" i="24"/>
  <c r="Y54" i="24" s="1"/>
  <c r="V43" i="24"/>
  <c r="W43" i="24" s="1"/>
  <c r="U43" i="24"/>
  <c r="U42" i="24"/>
  <c r="V42" i="24"/>
  <c r="U48" i="24"/>
  <c r="V48" i="24"/>
  <c r="W48" i="24" s="1"/>
  <c r="V38" i="24"/>
  <c r="U38" i="24"/>
  <c r="U36" i="24"/>
  <c r="V36" i="24"/>
  <c r="U60" i="24"/>
  <c r="V60" i="24"/>
  <c r="W60" i="24" s="1"/>
  <c r="V31" i="24"/>
  <c r="U31" i="24"/>
  <c r="V26" i="24"/>
  <c r="U26" i="24"/>
  <c r="U35" i="24"/>
  <c r="V35" i="24"/>
  <c r="V44" i="24"/>
  <c r="U44" i="24"/>
  <c r="U47" i="24"/>
  <c r="U9" i="24"/>
  <c r="U30" i="24"/>
  <c r="U27" i="24"/>
  <c r="U23" i="24"/>
  <c r="U22" i="24"/>
  <c r="O38" i="11"/>
  <c r="O76" i="11"/>
  <c r="O70" i="11"/>
  <c r="O65" i="11"/>
  <c r="O64" i="11"/>
  <c r="O63" i="11"/>
  <c r="O62" i="11"/>
  <c r="O61" i="11"/>
  <c r="O60" i="11"/>
  <c r="O58" i="11"/>
  <c r="O56" i="11"/>
  <c r="O55" i="11"/>
  <c r="O54" i="11"/>
  <c r="O53" i="11"/>
  <c r="O52" i="11"/>
  <c r="O50" i="11"/>
  <c r="O49" i="11"/>
  <c r="O48" i="11"/>
  <c r="O47" i="11"/>
  <c r="O46" i="11"/>
  <c r="O45" i="11"/>
  <c r="O43" i="11"/>
  <c r="O42" i="11"/>
  <c r="O40" i="11"/>
  <c r="O39" i="11"/>
  <c r="O37" i="11"/>
  <c r="O36" i="11"/>
  <c r="O35" i="11"/>
  <c r="O34" i="11"/>
  <c r="O32" i="11"/>
  <c r="O31" i="11"/>
  <c r="O30" i="11"/>
  <c r="O27" i="11"/>
  <c r="O26" i="11"/>
  <c r="O24" i="11"/>
  <c r="O20" i="11"/>
  <c r="O19" i="11"/>
  <c r="O18" i="11"/>
  <c r="O17" i="11"/>
  <c r="O16" i="11"/>
  <c r="O14" i="11"/>
  <c r="O12" i="11"/>
  <c r="G78" i="8"/>
  <c r="J78" i="8"/>
  <c r="M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N2" i="8"/>
  <c r="N3" i="8"/>
  <c r="N4" i="8"/>
  <c r="N5" i="8"/>
  <c r="N6" i="8"/>
  <c r="N7" i="8"/>
  <c r="N8" i="8"/>
  <c r="N78" i="8" s="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Q2" i="8"/>
  <c r="AA61" i="24" l="1"/>
  <c r="AB61" i="24" s="1"/>
  <c r="O85" i="24" s="1"/>
  <c r="Z61" i="24"/>
  <c r="W35" i="24"/>
  <c r="Y35" i="24"/>
  <c r="W36" i="24"/>
  <c r="Y36" i="24"/>
  <c r="O84" i="24"/>
  <c r="Z54" i="24"/>
  <c r="AA54" i="24"/>
  <c r="AB54" i="24" s="1"/>
  <c r="W38" i="24"/>
  <c r="Y38" i="24"/>
  <c r="W42" i="24"/>
  <c r="Y42" i="24"/>
  <c r="O80" i="24"/>
  <c r="W31" i="24"/>
  <c r="Y31" i="24"/>
  <c r="AA30" i="24"/>
  <c r="AB30" i="24" s="1"/>
  <c r="Z30" i="24"/>
  <c r="W44" i="24"/>
  <c r="Y44" i="24"/>
  <c r="W26" i="24"/>
  <c r="Y26" i="24"/>
  <c r="Z42" i="24" l="1"/>
  <c r="AA42" i="24"/>
  <c r="AB42" i="24" s="1"/>
  <c r="Z36" i="24"/>
  <c r="AA36" i="24"/>
  <c r="AB36" i="24" s="1"/>
  <c r="AA38" i="24"/>
  <c r="AB38" i="24" s="1"/>
  <c r="O82" i="24" s="1"/>
  <c r="Z38" i="24"/>
  <c r="AA35" i="24"/>
  <c r="AB35" i="24" s="1"/>
  <c r="Z35" i="24"/>
  <c r="Z31" i="24"/>
  <c r="AA31" i="24"/>
  <c r="AB31" i="24" s="1"/>
  <c r="AA44" i="24"/>
  <c r="AB44" i="24" s="1"/>
  <c r="Z44" i="24"/>
  <c r="AA26" i="24"/>
  <c r="AB26" i="24" s="1"/>
  <c r="Z26" i="24"/>
  <c r="O83" i="24" l="1"/>
  <c r="O81" i="24"/>
  <c r="O87" i="2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kronos MCSIG PEI" type="5" refreshedVersion="6" background="1" saveData="1">
    <dbPr connection="Provider=SQLOLEDB.1;Persist Security Info=True;User ID=dbusr_mcsiglec;Initial Catalog=MCSIG;Data Source=mckansa;Use Procedure for Prepare=1;Auto Translate=True;Packet Size=4096;Workstation ID=SISTEMAS07;Use Encryption for Data=False;Tag with column collation when possible=False" command="SELECT        SIGII.SIGII_OBJETIVO_ESTRATEGICO.OBJ_ID, SIGII.SIGII_OBJETIVO_ESTRATEGICO.OBJ_DESCRIPCION, SIGII.SIGII_ESTRATEGIA.EST_ID, _x000d__x000a_                         SIGII.SIGII_ESTRATEGIA.EST_DESCRIPCION, SIGII.SIGII_INDICADORES.SIN_ID, SIGII.SIGII_INDICADORES.SIN_NOMBRE, _x000d__x000a_                         SIGII.SIGII_INDICADORES_PROGRAMACION.SIP_CANTIDAD, SIGII.SIGII_INDICADORES_UNIDAD_MEDIDA.SIU_NUMBRE, SIGII.SIGII_DEPENDENCIA.DEP_NOMBRE, _x000d__x000a_                         SIGII.SIGII_INDICADORES_AVANCES.SIA_CANTIDAD, SIGII.SIGII_INDICADORES_AVANCES.SIA_OBSERVACIONES, _x000d__x000a_                         SIGII.SIGII_INDICADORES_AVANCES.SIA_FECHA_x000d__x000a_FROM            SIGII.SIGII_OBJETIVO_ESTRATEGICO INNER JOIN_x000d__x000a_                         SIGII.SIGII_ESTRATEGIA ON SIGII.SIGII_OBJETIVO_ESTRATEGICO.OBJ_ID = SIGII.SIGII_ESTRATEGIA.OBJ_ID INNER JOIN_x000d__x000a_                         SIGII.SIGII_ESTRATEGIA_INDICADORES ON SIGII.SIGII_ESTRATEGIA.EST_ID = SIGII.SIGII_ESTRATEGIA_INDICADORES.EST_ID INNER JOIN_x000d__x000a_                         SIGII.SIGII_INDICADORES ON SIGII.SIGII_ESTRATEGIA_INDICADORES.SIN_ID = SIGII.SIGII_INDICADORES.SIN_ID INNER JOIN_x000d__x000a_                         SIGII.SIGII_INDICADORES_PROGRAMACION ON SIGII.SIGII_INDICADORES.SIN_ID = SIGII.SIGII_INDICADORES_PROGRAMACION.SIN_ID INNER JOIN_x000d__x000a_                         SIGII.SIGII_INDICADORES_UNIDAD_MEDIDA ON SIGII.SIGII_INDICADORES.SIU_ID = SIGII.SIGII_INDICADORES_UNIDAD_MEDIDA.SIU_ID INNER JOIN_x000d__x000a_                         SIGII.SIGII_DEPENDENCIA ON SIGII.SIGII_INDICADORES.DEP_ID = SIGII.SIGII_DEPENDENCIA.DEP_ID LEFT OUTER JOIN_x000d__x000a_                         SIGII.SIGII_INDICADORES_AVANCES ON SIGII.SIGII_INDICADORES.SIN_ID = SIGII.SIGII_INDICADORES_AVANCES.SIN_ID_x000d__x000a_ORDER BY SIGII.SIGII_OBJETIVO_ESTRATEGICO.OBJ_ID, SIGII.SIGII_ESTRATEGIA.EST_DESCRIPCION"/>
  </connection>
</connections>
</file>

<file path=xl/sharedStrings.xml><?xml version="1.0" encoding="utf-8"?>
<sst xmlns="http://schemas.openxmlformats.org/spreadsheetml/2006/main" count="1438" uniqueCount="477">
  <si>
    <t>Formulación, desarrollo y actualización del marco normativo del sector cultura</t>
  </si>
  <si>
    <t>Oficina Asesora Jurídica</t>
  </si>
  <si>
    <t>Iniciativas legislativas presentadas ante el Congreso que inciden en el sector cultura, conceptualizadas</t>
  </si>
  <si>
    <t>Despacho del Viceministro de la Creatividad y la Economía Naranja</t>
  </si>
  <si>
    <t>Marco normativo generado para el desarrollo de la economia naranja</t>
  </si>
  <si>
    <t>Despacho de la Dirección de Patrimonio y Memoria</t>
  </si>
  <si>
    <t>Despacho de la Dirección de Artes</t>
  </si>
  <si>
    <t>Levantamiento y acceso de información del sector cultura</t>
  </si>
  <si>
    <t>Liderar la articulación entre los diferentes niveles de gobierno, los agentes del sector cultura y el sector privado para propiciar el acceso a la cultura, la innovación y el emprendimiento cultural desde nuestros territorios</t>
  </si>
  <si>
    <t>Fortalecimiento de la gestión cultural en los territorios</t>
  </si>
  <si>
    <t>Despacho de la Dirección de Fomento Regional</t>
  </si>
  <si>
    <t>Creadores y gestores culturales vinculados a los Beneficios Económicos Periódicos - BEPS</t>
  </si>
  <si>
    <t>Despacho del Ministro</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</si>
  <si>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</si>
  <si>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</si>
  <si>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t>
  </si>
  <si>
    <t>Áreas de Desarrollo Naranja (ADN) implementadas</t>
  </si>
  <si>
    <t>Fortalecimiento de los procesos de reparación colectiva de las comunidades con enfoque diferencial</t>
  </si>
  <si>
    <t>Medidas de reparación atendidas</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</si>
  <si>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</si>
  <si>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enfasis en la primera infancia, infancia, adolescencia y familias</t>
  </si>
  <si>
    <t>Libros digitales dispuestos al público por la Biblioteca Nacional de Colombia</t>
  </si>
  <si>
    <t>Usuarios registrados en las plataformas Maguaré y MaguaRED</t>
  </si>
  <si>
    <t>Formación para las artes, la cultura y la economía creativa</t>
  </si>
  <si>
    <t>Personas beneficiadas por programas de formación artística y cultural</t>
  </si>
  <si>
    <t>Despacho de la Dirección de Cinematografía</t>
  </si>
  <si>
    <t>Despacho de la Dirección de Comunicaciones</t>
  </si>
  <si>
    <t>Colectivos de comunicación fortalecidos en narrativas, creación y comunicación</t>
  </si>
  <si>
    <t>Pilotos con el programa "mujeres afro narran su territorio implementados". (componente creación)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</si>
  <si>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</si>
  <si>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</si>
  <si>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</si>
  <si>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Sinfónica</t>
  </si>
  <si>
    <t>Conciertos realizados para acercar al público a la experiencia de la musica sinfónica.</t>
  </si>
  <si>
    <t>Establecer alianzas estratégicas para la consecución de recursos que apoyen el desarrollo de procesos culturales.</t>
  </si>
  <si>
    <t>Instrumentos de Financiación diseñados y puestos en marcha (FIDETER, FNG, Aldea)</t>
  </si>
  <si>
    <t>Grupo de Politicas Culturales y Asuntos Internacionales</t>
  </si>
  <si>
    <t>Valor de los recursos técnicos y/o financieros gestionados a través de procesos de cooperación.</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</si>
  <si>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</si>
  <si>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</si>
  <si>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Espacios físicos adecuados y/o mantenidos para el desarrollo de las funciones museológicas</t>
  </si>
  <si>
    <t>Diseño e eimplementación de circuitos regionales para la movilidad de los procesos y practicas artísticas y culturales en articulación con las infraestructuras y los programas existentes en el territorio.</t>
  </si>
  <si>
    <t>Circuitos regionales para la movilidad de los procesos y prácticas artísticas y culturales, diseñados y en funcionamiento</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</si>
  <si>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</si>
  <si>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</si>
  <si>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</si>
  <si>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Talleres Escuela creadas</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</si>
  <si>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</si>
  <si>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</si>
  <si>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Planes de conservación de colecciones ejecutados</t>
  </si>
  <si>
    <t>Impulsar procesos creativos culturales que generen valor social agregado y fortalezcan la identidad y memoria cultural, desde los territorios</t>
  </si>
  <si>
    <t>Proyectos artísticos y culturales financiados a través del Programa Nacional de Concertación Cultural</t>
  </si>
  <si>
    <t>Estímulos otorgados a proyectos artísticos y culturales</t>
  </si>
  <si>
    <t>Generación de “valor agregado naranja” en el sector productivo a partir del patrimonio cultural.</t>
  </si>
  <si>
    <t>Escuela Taller Naranja creada</t>
  </si>
  <si>
    <t>Unidades de negocio bajo el modelo de la Diáspora Africana en Colombia apoyadas</t>
  </si>
  <si>
    <t>Planes formulados y en ejecución</t>
  </si>
  <si>
    <t>Ejemplares de la colección "Historias de la Historia de Colombia" que hacen parte de la Serie Leer es mi cuento entregados</t>
  </si>
  <si>
    <t>Promoción de una gerencia efectiva de los recursos físicos y financieros</t>
  </si>
  <si>
    <t>Porcentaje de ejecución presupuestal</t>
  </si>
  <si>
    <t>Oficina Asesora de Planeación</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</si>
  <si>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</si>
  <si>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</si>
  <si>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</si>
  <si>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Nivel de integración de los subsistemas en el Sistema Integrado de Gestión Institucional</t>
  </si>
  <si>
    <t>Fortalecemiento del sistema de control interno y la lucha contra la corrupción</t>
  </si>
  <si>
    <t>Oficina de Control Interno</t>
  </si>
  <si>
    <t>Cumplimiento del Programa Anual de Auditorias Internas.</t>
  </si>
  <si>
    <t>Fortalecimiento de las estrategias de transparencia, participación y servicio al ciudadano</t>
  </si>
  <si>
    <t>Fortalecimiento de las políticas de gestión del Talento Humano</t>
  </si>
  <si>
    <t>Nivel de satisfacción de las capacitaciones realizadas</t>
  </si>
  <si>
    <t>Capacidad en la prestación de servicios de tecnología</t>
  </si>
  <si>
    <t>Fortalecimiento de la implementación de los instrumentos archivísticos para facilitar su utilización y garantizar su conservación y preservación a largo plazo.</t>
  </si>
  <si>
    <t>Instrumentos archivísticos implementados en el Ministerio de Cultura</t>
  </si>
  <si>
    <t>Fortalecimiento de la gestión jurídica de la entidad</t>
  </si>
  <si>
    <t>Porcentaje de fallos a favor de procesos judiciales en donde participe la entidad</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</si>
  <si>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</si>
  <si>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 xml:space="preserve">Formulación e implementación de Políticas Públicas del ámbito cultural con enfoque poblacional y territorial </t>
  </si>
  <si>
    <t xml:space="preserve">Plan Decenal de Lenguas Nativas concertado e implementado  </t>
  </si>
  <si>
    <t xml:space="preserve">Subsectores de la Cuenta Satélite de Cultura medidos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</si>
  <si>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</si>
  <si>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</si>
  <si>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 xml:space="preserve">Cumplimiento de compromisos en territorios priorizados </t>
  </si>
  <si>
    <t xml:space="preserve">Fortalecimiento del emprendimiento cultural en los territorios </t>
  </si>
  <si>
    <t>Entidades territoriales con asesoría y acompañamiento técnico para el fortalecimiento de las redes y/o bibliotecas públicas  de su región.</t>
  </si>
  <si>
    <t xml:space="preserve">Niños y jóvenes beneficiados por programas y procesos artísticos y culturales </t>
  </si>
  <si>
    <t xml:space="preserve">Municipios acompañados en el desarrollo de estrategias de circulación y formación de públicos, para el cine colombiano. </t>
  </si>
  <si>
    <t xml:space="preserve">Grupo del Teatro Colón </t>
  </si>
  <si>
    <t xml:space="preserve">Funciones de obras artisticas y culturales realizadas en sala del Teatro Colón </t>
  </si>
  <si>
    <t xml:space="preserve">Proyectos aprobados en el Sistema General de Regalías para el sector Cultura </t>
  </si>
  <si>
    <t xml:space="preserve">Obras artísticas creadas y exhibidas en los salones nacionales y regionales de artistas  </t>
  </si>
  <si>
    <t>Vincular la conservación, protección,  recuperación y nuevas dinámicas  del patrimonio material (mueble e inmueble)  a los procesos productivos propios de los territorios - Memoria Construida</t>
  </si>
  <si>
    <t>Garantia de la preservación del patrimonio material representado en las colecciones de los Museos del Ministerio de  Cultura</t>
  </si>
  <si>
    <t>Fortalecimiento del Programa Nacional de Concertación Cultural - PNCC y el Programa Nacional de Estimulos -  PNE.</t>
  </si>
  <si>
    <t xml:space="preserve">Proyectos apoyados por el PNCC priorizados con seguimiento </t>
  </si>
  <si>
    <t xml:space="preserve">Estímulos otorgados por el PNE, priorizados con seguimiento </t>
  </si>
  <si>
    <t>Particpación en la formulación y ejecución de los de los planes  conmemorativos al Bicentenario 1819-1823. con enfoque territorial</t>
  </si>
  <si>
    <t xml:space="preserve">Bibliotecas públicas de la RNBP que implementan el Programa de Bibliotecas Itinerantes. </t>
  </si>
  <si>
    <t>Fortalecer la capacidad de gestión y desempeño institucional y la mejora continua de los procesos, basada en  la gestión de los riesgos,  el manejo de la  información y la evaluación para la toma de decisiones.</t>
  </si>
  <si>
    <t xml:space="preserve">Secretaría General </t>
  </si>
  <si>
    <t>Fortalecimiento de  las TICs y los canales de comunicación.</t>
  </si>
  <si>
    <t xml:space="preserve">El Ministerio cuenta con los equipos apropiados para realizar sus actividades </t>
  </si>
  <si>
    <t>Número</t>
  </si>
  <si>
    <t>Porcentaje</t>
  </si>
  <si>
    <t>Total general</t>
  </si>
  <si>
    <t>PND</t>
  </si>
  <si>
    <t>% Avance TOTAL</t>
  </si>
  <si>
    <t>DEP_NOMBRE</t>
  </si>
  <si>
    <t>OBJ_ID</t>
  </si>
  <si>
    <t>OBJ_DESCRIPCION</t>
  </si>
  <si>
    <t>EST_ID</t>
  </si>
  <si>
    <t>EST_DESCRIPCION</t>
  </si>
  <si>
    <t>SIN_ID</t>
  </si>
  <si>
    <t>SIN_NOMBRE</t>
  </si>
  <si>
    <t>SIP_CANTIDAD</t>
  </si>
  <si>
    <t>SIU_NUMBRE</t>
  </si>
  <si>
    <t>SIA_CANTIDAD</t>
  </si>
  <si>
    <t>SIA_OBSERVACIONES</t>
  </si>
  <si>
    <t>SIA_FECHA</t>
  </si>
  <si>
    <t>Fecha Actualizado</t>
  </si>
  <si>
    <t>Territorios con política de turismo cultural implementada</t>
  </si>
  <si>
    <t>Pilotos de PCI en contextos Urbanos PCIU implementados</t>
  </si>
  <si>
    <t>Política de formación artística y cultural diseñada</t>
  </si>
  <si>
    <t xml:space="preserve">Se elaboró el borrador del documento  de propuesta para el diseño de política. Está en proceso de revisión para presentación a la Dirección. Se está ajustando lo referente a Presupuesto estimado. </t>
  </si>
  <si>
    <t xml:space="preserve">Despacho de la Dirección de Poblaciones_x000D_
</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</si>
  <si>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</si>
  <si>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 xml:space="preserve">Documentos de Políticas Públicas para el fortalecimiento de la Economia Naranja formulados_x000D_
</t>
  </si>
  <si>
    <t xml:space="preserve">Proyecto de modificación de la Ley de Cultura presentado al Congreso </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</si>
  <si>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</si>
  <si>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</si>
  <si>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</si>
  <si>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 xml:space="preserve">Grupo de Emprendimiento Cultural_x000D_
</t>
  </si>
  <si>
    <t>Nuevos contenidos visuales, sonoros y convergentes de comunicación cultural creados</t>
  </si>
  <si>
    <t xml:space="preserve">Biblioteca Nacional de Colombia_x000D_
</t>
  </si>
  <si>
    <t>Promedio de libros leídos por la población colombiana entre 5 y 11 años (ECC)</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</si>
  <si>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</si>
  <si>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Promedio de libros leídos por la población colombiana, de 12 años o más  (ECC)</t>
  </si>
  <si>
    <t xml:space="preserve">Se ha dado cumplimiento del 100% a la meta proyectada. _x000D_
_x000D_
Se llevaron a cabo 543 asistencias técnicas y 6 adicionales por requerimiento de las regiones, para un acumulado de 549 equivalente al 101,1%. _x000D_
</t>
  </si>
  <si>
    <t xml:space="preserve">Circuitos nacionales e internacionales de las narradoras afros y sus obras_x000D_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</si>
  <si>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</si>
  <si>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 xml:space="preserve">Grupo de Infraestructura Cultural_x000D_
</t>
  </si>
  <si>
    <t xml:space="preserve">Infraestructuras culturales Construidas, adecuadas y dotadas,_x000D_
</t>
  </si>
  <si>
    <t xml:space="preserve">Museo Nacional de Colombia_x000D_
</t>
  </si>
  <si>
    <t xml:space="preserve">Diseño del museo de la diversidad étnica y cultural_x000D_
</t>
  </si>
  <si>
    <t>Museo narrativo para las mujeres afro que narran su territorio</t>
  </si>
  <si>
    <t xml:space="preserve">Manifestaciones inscritos en la Lista Representativa de Patrimonio Cultural Inmaterial de la Humanidad y la Lista de Patrimonio Mundial de la UNESCO
</t>
  </si>
  <si>
    <t xml:space="preserve">Regiones PDET con el programa de Expedición Sensorial Implementado._x000D_
</t>
  </si>
  <si>
    <t xml:space="preserve">Bienes de interés cultural del ámbito nacional que cuentan con Planes Especiales de Manejo y Protección PEMP_x000D_
</t>
  </si>
  <si>
    <t xml:space="preserve">Grupo Programa Nacional de Concertación_x000D_
</t>
  </si>
  <si>
    <t xml:space="preserve">Grupo Programa Nacional de Estímulos_x000D_
</t>
  </si>
  <si>
    <t xml:space="preserve">Emprendedores o empresas de las agendas creativas regionales fortalecidas con asistencia técnica_x000D_
</t>
  </si>
  <si>
    <t xml:space="preserve">Empresas que acceden al sistema de beneficios tributarios_x000D_
</t>
  </si>
  <si>
    <t xml:space="preserve">Nivel de implementación de las dimensiones del Modelo Integrado de Planeación y Gestión._x000D_
</t>
  </si>
  <si>
    <t xml:space="preserve">Grupo de  Gestión de Sistemas  e Informática _x000D_
</t>
  </si>
  <si>
    <t xml:space="preserve">Grupo de Gestión Documental_x000D_
</t>
  </si>
  <si>
    <t xml:space="preserve">Grupo de Gestión Humana_x000D_
</t>
  </si>
  <si>
    <t xml:space="preserve">Nivel de ejecución del Plan Institucional de Capacitaciones_x000D_
</t>
  </si>
  <si>
    <t xml:space="preserve">Grupo de Gestión Financiera y Contable_x000D_
</t>
  </si>
  <si>
    <t>El porcentaje de reducción en gastos de logística va en 2.53%, tiquetes el 5.53% y el de viáticos el 20%.</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</si>
  <si>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</si>
  <si>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</si>
  <si>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</si>
  <si>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</si>
  <si>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</si>
  <si>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</si>
  <si>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</si>
  <si>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Se creó la escuela taller en villa del rosario y se formuló el proceso de formacion en jardineria con el apoyo de la escuela talle de cali. _x000D_
_x000D_
Con esta creación se cumple la meta establecida para el 2019.</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</si>
  <si>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</si>
  <si>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Meta_19</t>
  </si>
  <si>
    <t>Avan_19</t>
  </si>
  <si>
    <t>% Avance</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</si>
  <si>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</si>
  <si>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</si>
  <si>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</si>
  <si>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 xml:space="preserve">Se conceptualizaron 22 proyectos, superando con creces la meta de 15 para el año 2019._x000D_
_x000D_
_x000D_
</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</si>
  <si>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</si>
  <si>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</si>
  <si>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</si>
  <si>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</si>
  <si>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</si>
  <si>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 xml:space="preserve">Fortalecimiento de espacios itinerantes y no convencionales, para extender la oferta de bienes y servicios culturales._x000D_
</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</si>
  <si>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</si>
  <si>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</si>
  <si>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</si>
  <si>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 xml:space="preserve">Promoción de un entorno institucional para el desarrollo y la consolidación de la ciudadanía creativa y la economía naranja_x000D_
_x000D_
</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</si>
  <si>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</si>
  <si>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 xml:space="preserve">Diseño y puesta en marcha modelos de financiación para la cultura._x000D_
</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</si>
  <si>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</si>
  <si>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 xml:space="preserve">Agendas creativas regionales implementadas _x000D_
</t>
  </si>
  <si>
    <t xml:space="preserve">Cualificaciones del sector según el mapa ocupacional y los segmentos del campo cultural elaboradas._x000D_
</t>
  </si>
  <si>
    <t xml:space="preserve">Bienes de interés cultural del ámbito nacional intervenidos_x000D_
</t>
  </si>
  <si>
    <t xml:space="preserve">Exposiciones de colecciones itinerantes realizadas_x000D_
</t>
  </si>
  <si>
    <t xml:space="preserve">Seguimiento y monitoreo del Plan Anticorrupción y Atención al Ciudadano. _x000D_
</t>
  </si>
  <si>
    <t xml:space="preserve">Seguimiento del Plan Estratégico Institucional_x000D_
</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</si>
  <si>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</si>
  <si>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</si>
  <si>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</si>
  <si>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</si>
  <si>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</si>
  <si>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</si>
  <si>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</si>
  <si>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</si>
  <si>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</si>
  <si>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 xml:space="preserve">Promoción de la gestión de recursos para el desarrollo de los procesos artísticos culturales_x000D_
</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</si>
  <si>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</si>
  <si>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</si>
  <si>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</si>
  <si>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</si>
  <si>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</si>
  <si>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</si>
  <si>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</si>
  <si>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El porcentaje corresponde a 29 decisiones de las cuales 26 han sido a favor de la entidad y 3 en contra. </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</si>
  <si>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</si>
  <si>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</si>
  <si>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</si>
  <si>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</si>
  <si>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</si>
  <si>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</si>
  <si>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El Ministerio de Cultura cuenta con con los siguientes instrumentos archivísticos actualizados y publicados en la página web de la entidad: Programa de Gestión Documental  y Banco Terminológico de Series y Subseries Documentales.</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</si>
  <si>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</si>
  <si>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</si>
  <si>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 xml:space="preserve">Con corte al 31 de diciembre las narradoras han participado en 10 circuitos._x000D_
_x000D_
</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</si>
  <si>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</si>
  <si>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</si>
  <si>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</si>
  <si>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</si>
  <si>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</si>
  <si>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</si>
  <si>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El avance en el Sistema Integrado de Conservación y Restauración (SICRE) se continua realizó en todos los Museos del Ministerio de Cultura de manera permanente para mantener adecuadamente el patrimonio colombiano.</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</si>
  <si>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</si>
  <si>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246 municipios han girado a Colpensiones la suma de $75.930 millones para asignar a 3.102 creadores y gestores culturales los beneficios de anualidad vitalicia (2.717) y financiación de aportes al Servicio Social Complementario de BEPS (385).</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</si>
  <si>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</si>
  <si>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</si>
  <si>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 xml:space="preserve">Al cierre de la vigencia 2019 se formularon y ejecutaron la totalidad de los eventos conmemorativos al bicentenario. </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</si>
  <si>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</si>
  <si>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</si>
  <si>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PLAN ESTRATÉGICO INSTITUCIONAL 2018-2022</t>
  </si>
  <si>
    <t>ID_O</t>
  </si>
  <si>
    <t>ID_E</t>
  </si>
  <si>
    <t>ID_I</t>
  </si>
  <si>
    <t>No.</t>
  </si>
  <si>
    <t>OBJETIVO ESTRATEGICO</t>
  </si>
  <si>
    <t>LÍDER DE OBJETIVO</t>
  </si>
  <si>
    <t>No</t>
  </si>
  <si>
    <t>ESTRATEGIA</t>
  </si>
  <si>
    <t>RESPONSABLE DE LA ESTRATEGIA</t>
  </si>
  <si>
    <t>INDICADOR</t>
  </si>
  <si>
    <t>RESPONSABLE DEL INDICADOR</t>
  </si>
  <si>
    <t>LINEA
 BASE</t>
  </si>
  <si>
    <t>META CUATRIENIO</t>
  </si>
  <si>
    <t>META
2019</t>
  </si>
  <si>
    <t>OBSERVACIONES</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</si>
  <si>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</si>
  <si>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</si>
  <si>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</si>
  <si>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</si>
  <si>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</si>
  <si>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Jefe Oficina Jurídica</t>
  </si>
  <si>
    <t>Proyecto de modificación de la Ley de Cultura presentado al Congreso</t>
  </si>
  <si>
    <t>NA</t>
  </si>
  <si>
    <t>-</t>
  </si>
  <si>
    <t>Despacho Viceministro de Creatividad y Economía Naranja</t>
  </si>
  <si>
    <t>Formulación e implementación de Políticas Públicas del ámbito cultural con enfoque poblacional y territorial</t>
  </si>
  <si>
    <t>Dirección e Patrimonio</t>
  </si>
  <si>
    <t>Dirección de Patrimonio</t>
  </si>
  <si>
    <t>Plan Decenal de Lenguas Nativas concertado y protocolizado</t>
  </si>
  <si>
    <t>Dirección de Poblaciones</t>
  </si>
  <si>
    <t>Documentos de Políticas Públicas para el fortalecimiento de la Economia Naranja formulados</t>
  </si>
  <si>
    <t>Subsectores de la Cuenta Satélite de Cultura medidos</t>
  </si>
  <si>
    <t>Despacho Viceministro de Creatividad y Economia Naranja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</si>
  <si>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</si>
  <si>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</si>
  <si>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</si>
  <si>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</si>
  <si>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</si>
  <si>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Fortalecimiento del emprendimiento cultural en los territorios</t>
  </si>
  <si>
    <t>Coordinadora Grupo de Emprendimiento Cultural</t>
  </si>
  <si>
    <t>Pilotos con el programa "mujeres afro narran su territorio implementados" (componente emprendimiento).
Código: Programa mujeres afro narran su territorio</t>
  </si>
  <si>
    <t>Despacho Ministra</t>
  </si>
  <si>
    <t>N.A</t>
  </si>
  <si>
    <t>Promoción de un entorno institucional para desarrollo y consolidación de la Economía Naranja.</t>
  </si>
  <si>
    <t>Viceministro de Economía Naranja</t>
  </si>
  <si>
    <t xml:space="preserve">Agendas creativas regionles implementadas </t>
  </si>
  <si>
    <t>Director de Poblaciones</t>
  </si>
  <si>
    <t>Promoción de hábitos de lectura en la población Colombiana con énfasis en la primera infancia, infancia, adolescencia y familias</t>
  </si>
  <si>
    <t>Directora Biblioteca Nacional</t>
  </si>
  <si>
    <t>Biblioteca Nacional</t>
  </si>
  <si>
    <t>Promedio de libros leídos por la población colombiana, de 12 años o más que leyeron libros  (ECC)</t>
  </si>
  <si>
    <t>Usuarios que acceden a las plataformas Maguaré y MaguaRED</t>
  </si>
  <si>
    <t>Dirección de Artes</t>
  </si>
  <si>
    <t xml:space="preserve">Entidades Territoriales con asesoria y acompañamiento técnico para el fortalecimiento de las Redes y/o Bibliotecas Públicas de su región. </t>
  </si>
  <si>
    <t xml:space="preserve">Directora Biblioteca Nacional
</t>
  </si>
  <si>
    <t>Directora de Artes</t>
  </si>
  <si>
    <t>Cualificaciones del sector según el mapa ocupacional y los segmentos del campo cultural elaboradas.</t>
  </si>
  <si>
    <t>Director de Patrimonio</t>
  </si>
  <si>
    <t>Niños y jóvenes beneficiados por programas y procesos artísticos y culturales
Código: Política Antidrogas - Ruta Futuro</t>
  </si>
  <si>
    <t>Municipios acompañados en el desarrollo de estrategias de circulación y formación de públicos, para el cine colombiano.</t>
  </si>
  <si>
    <t>Director de Cinematografía</t>
  </si>
  <si>
    <t>Directora de Comunicaciones</t>
  </si>
  <si>
    <t>Pilotos con el programa "mujeres afro narran su territorio implementados". (componente creación)
Código: Programa mujeres afro narran su territorio</t>
  </si>
  <si>
    <t>Viceministro de Creatividad y Economía Naranja</t>
  </si>
  <si>
    <t>Dirección de Cinematografía</t>
  </si>
  <si>
    <t xml:space="preserve">Viceministro de Creatividad y Economía Naranja
</t>
  </si>
  <si>
    <t>Conciertos realizados para acercar al público a la experiencia de la música sinfónica.</t>
  </si>
  <si>
    <t>Funciones de obras artísticas y culturales realizadas en sala del Teatro Colón</t>
  </si>
  <si>
    <t>Teatro Colón</t>
  </si>
  <si>
    <t>Diseño y puesta en marcha de modelos de financiación para la cultura.</t>
  </si>
  <si>
    <t>Despacho del Viceministro de Economía Naranja y la Creatividad</t>
  </si>
  <si>
    <t>Promoción de la gestión de recursos para el desarrollo de los procesos artísticos y culturales</t>
  </si>
  <si>
    <t>Oficina Asesora de Asuntos Internacionales</t>
  </si>
  <si>
    <t>Área de asuntos internacionales y cooperación</t>
  </si>
  <si>
    <t>Dirección de Fomento Regional</t>
  </si>
  <si>
    <t>Proyectos aprobados en el Sistema General de Regalías para el sector Cultura</t>
  </si>
  <si>
    <t>Coordinadora Grupo de Infraestructura Cultural</t>
  </si>
  <si>
    <t>Infraestructuras culturales Construidas, adecuadas y dotadas,</t>
  </si>
  <si>
    <t>Diseño del museo de la diversidad étnica y cultural</t>
  </si>
  <si>
    <t>Director Museo Nacional</t>
  </si>
  <si>
    <t>N/A</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</si>
  <si>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</si>
  <si>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</si>
  <si>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Directora Artes</t>
  </si>
  <si>
    <t>Circuitos nacionales e internacionales de las narradoras afros y sus obras.
Código: Programa mujeres afro narran su territorio</t>
  </si>
  <si>
    <t>Por definir</t>
  </si>
  <si>
    <t>Implementar acciones de protección, reconocimiento y salvaguarda del patrimonio cultural Colombiano para preservar e impulsar nuestra identidad nacional, desde los territorios.</t>
  </si>
  <si>
    <t>Director de Patrimonio
Directora Artes</t>
  </si>
  <si>
    <t>Manifestaciones inscritos en la Lista Representativa de Patrimonio Cultural Inmaterial de la Humanidad y la Lista de Patrimonio Mundial de la UNESCO</t>
  </si>
  <si>
    <t>Regiones PDET con el programa de Expedición Sensorial Implementado.</t>
  </si>
  <si>
    <t>Planes formulados y en ejecución
Código: Bicentenario</t>
  </si>
  <si>
    <t>Ejemplares de la colección "Historias de la Historia de Colombia" que hacen parte de la Serie Leer es mi cuento entregados.
Código: Bicentenario</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</si>
  <si>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</si>
  <si>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</si>
  <si>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</si>
  <si>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</si>
  <si>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</si>
  <si>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</si>
  <si>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</si>
  <si>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</si>
  <si>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</si>
  <si>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</si>
  <si>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Proyectos apoyados por el PNCC priorizados con seguimiento</t>
  </si>
  <si>
    <t>Dependencias Misionales Coordinador PNCC</t>
  </si>
  <si>
    <t>Coordinador PNE</t>
  </si>
  <si>
    <t>Estímulos otorgados por el PNE, priorizados con seguimiento</t>
  </si>
  <si>
    <t>Dependencias Misionales Coordinador PNE</t>
  </si>
  <si>
    <t>Emprendedores o empresas de las agendas creativas regionales fortalecidas con asistencia técnica</t>
  </si>
  <si>
    <t>Empresas que acceden al sistema de beneficios tributarios</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</si>
  <si>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</si>
  <si>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</si>
  <si>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</si>
  <si>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</si>
  <si>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</si>
  <si>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Secretaría General</t>
  </si>
  <si>
    <t xml:space="preserve">Secretaría General
</t>
  </si>
  <si>
    <t>Grupo de Gestión Financiera y Contable</t>
  </si>
  <si>
    <t>Seguimiento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</si>
  <si>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</si>
  <si>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</si>
  <si>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</si>
  <si>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</si>
  <si>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</si>
  <si>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</si>
  <si>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Grupo de Gestión Humana</t>
  </si>
  <si>
    <t>Nivel de ejecución del Plan Institucional de Capacitaciones</t>
  </si>
  <si>
    <t xml:space="preserve">Fortalecimiento de  las TICs y los canales de comunicación.  </t>
  </si>
  <si>
    <t>Grupo de Gestión de Sistemas e informática</t>
  </si>
  <si>
    <t>Grupo de Gestión de Sistemas e Informática</t>
  </si>
  <si>
    <t>Grupo de Gestión Documental</t>
  </si>
  <si>
    <t>CARMEN INÉS VÁSQUEZ CAMACHO - MINISTRA DE CULTURA</t>
  </si>
  <si>
    <t>AVANCE 2020</t>
  </si>
  <si>
    <t>Se conceptualizaron 22 proyectos, superando con creces la meta de 15 para el año 2019.</t>
  </si>
  <si>
    <t>OBSERVACIONES 2019</t>
  </si>
  <si>
    <r>
      <rPr>
        <b/>
        <sz val="12"/>
        <color rgb="FFFF0000"/>
        <rFont val="Arial"/>
        <family val="2"/>
      </rPr>
      <t>Rezago</t>
    </r>
    <r>
      <rPr>
        <b/>
        <sz val="12"/>
        <rFont val="Arial"/>
        <family val="2"/>
      </rPr>
      <t xml:space="preserve"> o Avance Meta Cuatrenío</t>
    </r>
  </si>
  <si>
    <t>Ocultar para Públicar</t>
  </si>
  <si>
    <t>CIERRE 
2019</t>
  </si>
  <si>
    <t>Diseño del Museo Afro de Colombia</t>
  </si>
  <si>
    <t>Planes formulados y en ejecución
Código: Bicentenario</t>
  </si>
  <si>
    <t>Pilotos con el programa "mujeres afro narran su territorio implementados". (componente creación)
Código: Programa mujeres afro narran su territorio</t>
  </si>
  <si>
    <t>Desarrollo del programa "mujeres narran su territorio"
Código: Programa mujeres narran su territorio</t>
  </si>
  <si>
    <t>Nodos y mesas de economía naranja instalados y con asistencia técnica en el territorio nacional</t>
  </si>
  <si>
    <t>Creadores y gestores culturales beneficiados con el programa de Beneficios Económicos Periódicos - BEPS</t>
  </si>
  <si>
    <t>Obras artísticas exhibidas y/o divulgadas de las artes plásticas y visuales</t>
  </si>
  <si>
    <t>Empresas y personas naturales que acceden al sistema de beneficios tributarios para la cultura, la creatividad y la Economía Naranja</t>
  </si>
  <si>
    <t>Dirección de Audiovisuales, Cine y Medios Interactivos</t>
  </si>
  <si>
    <t xml:space="preserve">Dirección de Estrategia, Desarrollo y Emprendimiento
</t>
  </si>
  <si>
    <t xml:space="preserve">Agendas creativas regionales implementadas </t>
  </si>
  <si>
    <t xml:space="preserve">PLAN ESTRATÉGICO INSTITUCIONAL 2019-2022 </t>
  </si>
  <si>
    <t>Politica de turismo cultural actualizada</t>
  </si>
  <si>
    <t>% AVANCE 2020</t>
  </si>
  <si>
    <t>AVANCE ACUMULADO 2020</t>
  </si>
  <si>
    <t>% Avance acumulado cuatrienio</t>
  </si>
  <si>
    <t>Objetivo 1</t>
  </si>
  <si>
    <t>Objetivo 2</t>
  </si>
  <si>
    <t>Objetivo 3</t>
  </si>
  <si>
    <t>Objetivo 4</t>
  </si>
  <si>
    <t>Objetivo 5</t>
  </si>
  <si>
    <t>Objetivo 6</t>
  </si>
  <si>
    <t>Objetivo 7</t>
  </si>
  <si>
    <t>Objetivo 8</t>
  </si>
  <si>
    <t>Promedio total</t>
  </si>
  <si>
    <t>% AVANCE ACUMULADO 2021</t>
  </si>
  <si>
    <t>Cumplido en 2020</t>
  </si>
  <si>
    <t>AVANCE ACUMULADO 2021</t>
  </si>
  <si>
    <t>% AVANCE cuatrienio 2020</t>
  </si>
  <si>
    <t>% AVANCE cuatrienio 2021</t>
  </si>
  <si>
    <t>CIERRE 2020</t>
  </si>
  <si>
    <t>CIERRE 2021</t>
  </si>
  <si>
    <t>AVANCE 2022</t>
  </si>
  <si>
    <t>% AVANCE cuatrienio 2022</t>
  </si>
  <si>
    <t>OBSERVACIONES (Marzo 2022)</t>
  </si>
  <si>
    <t xml:space="preserve">Para el periodo de marzo de 2022, no se ha presentado el proyecto de modificación de la ley del sector cultura.	 </t>
  </si>
  <si>
    <t xml:space="preserve">Para el periodo comprendido entre el 01 y el 31 de marzo del 2022, por parte del grupo desde asuntos legislativos del despacho, se reportan 101 proyectos de ley, 53 presentados al Senado y 48 a la Cámara de Representantes; de los cuales 2 han sido conceptuados por el Ministerio de Cultura.	 </t>
  </si>
  <si>
    <t>% AVANCE 2022</t>
  </si>
  <si>
    <t>Meta cumplida en 2020</t>
  </si>
  <si>
    <t>Meta cumplida en 2019</t>
  </si>
  <si>
    <t xml:space="preserve">Meta cumplida en 2020, sin embargo, se continúa realizando acciones del programa así: se avanza en la proyección para el lanzamiento de la Biblioteca URDIMBRES, compuesta por 8 antologías literarias en las que participaron 380 mujeres de las poblaciones: Raizal, indígena, con discapacidad, víctimas del conflicto, campesinas y diversas en el marco de la feria del Libro de Bogotá, con la presencia de 15 mujeres provenientes de diferentes territorios del país	 </t>
  </si>
  <si>
    <t xml:space="preserve">En marzo, en reunión con el Ministerio de Educación Nacional para la implementación de las acciones del CONPES "Política Nacional de Lectura, Escritura, Oralidad y Bibliotecas Escolares" PNLEOBE, se acordó la forma de trabajar para la realización de la ENLEC, bajo el liderazgo de la Biblioteca Nacional y se elaboraron documentos para el inicio del trabajo. Se planearon las acciones y actividades adicionales para la promoción de la lectura, en el marco de la FILBO, así se terminó la Biblioteca Digital Familiar y se definió la fecha de presentación.	  	  </t>
  </si>
  <si>
    <t>En marzo, en reunión con el Ministerio de Educación Nacional para la implementación de las acciones del CONPES "Política Nacional de Lectura, Escritura, Oralidad y Bibliotecas Escolares" PNLEOBE, se acordó la forma de trabajar para la realización de la ENLEC, bajo el liderazgo de la Biblioteca Nacional y se elaboraron documentos para el inicio del trabajo. Se planearon las acciones y actividades adicionales para la promoción de la lectura, en el marco de la FILBO, así se terminó la Biblioteca Digital Familiar y se definió la fecha de presentación.</t>
  </si>
  <si>
    <t xml:space="preserve">Durante el mes de marzo de 2022 se digitalizaron, editaron y dispusieron en la Biblioteca Digital de la Biblioteca Nacional de Colombia, 184 recursos digitales, para un total acumulado de 6.749 recursos durante el cuatrienio.	 </t>
  </si>
  <si>
    <t xml:space="preserve">Durante el mes de marzo se dio continuidad al proceso de adquisición y compra de los componentes que hacen parte de las maletas de recursos bibliográficos, didácticos y pedagógicos, así mismo se realizó el alistamiento de los elementos de tecnología que conforman el kit de las Bibliotecas Rurales Itinerantes - BRI 2022. Adicionalmente se dio trámite a la entrega de incentivos para las 143 BRI 2021 seleccionadas para recibir este beneficio.	 	 </t>
  </si>
  <si>
    <t>Avance acumulado</t>
  </si>
  <si>
    <t>Con corte a marzo, se realizó acompañamiento técnico y formativo en 25 entidades territoriales por parte de la Estrategia Regional de la Biblioteca Nacional de Colombia, para la implementación de Bibliotecas Rurales Itinerantes en el marco de los servicios de extensión bibliotecaria de sus bibliotecas públicas municipales, en articulación con el Programa Nacional de Bibliotecas Itinerantes.</t>
  </si>
  <si>
    <t>Con corte a 31 de marzo, un total de 88 personas han sido beneficiadas por programas de formación artística y cultural, así: Becas INI - Juventud 2021, 41 jóvenes beneficiados por medio de procesos de formación en territorio. De otra parte, en el marco de la estrategia de Conexiones Diversas, se realizó el primer evento de la Zona Andina para el relacionamiento de Canales regionales, realizadores independientes y colectivos de comunicación con la participación de 47 personas.
Por otra parte, se cuenta con la programación de las actividades de formación, se cuenta con convenios suscritos para formar personas en las áreas de Literatura, Música, Visuales y Teatro. Por otra parte, se encuentra en proceso de contratación el modelo de formación para Danza. 
Así mismo, se encuentra en ejecución el Convenio de asociación entre el Ministerio de Cultura y la Universidad EAN, por medio del cual se realizan los diplomados en Gestión y Formulación de Proyectos Culturales. El jueves 3 de marzo iniciaron, de acuerdo con el cronograma establecido, las 5 sedes semipresencial ubicadas en Valledupar, Cesar; Neiva, Huila; Cali, Valle del Cauca; Bucaramanga, Santander y Manizales, Caldas. Cada una cuenta con 40 participantes con el fin de certificar 200 creadores y gestores culturales.
Contando a la fecha con 13.125 personas beneficiadas por programas de formación artística y cultural en el cuatrienio.</t>
  </si>
  <si>
    <t xml:space="preserve">A 31 de marzo la Fundación Nacional Batuta reportó 14.948 inscritos, quienes iniciaron procesos artísticos y culturales dentro del programa Sonidos de Esperanza.	
A la fecha se cuenta con 258.773 niños, niñas y jóvenes beneficiados por programas y procesos artísticos y culturales. </t>
  </si>
  <si>
    <t xml:space="preserve">A 31 de marzo se socializó la oferta del Programa para el 2022, en la perspectiva de generar las articulaciones requeridas con las mesas de impulso, para la divulgación de convocatorias, la implementación y seguimiento de los proyectos en las subregiones de: 1) Alto Patía Norte del Cauca, 2) Catatumbo, 3) Chocó, 4) Montes de María, 5) Pacífico Frontera Nariñense y 6) Pacífico Medio. 
En cuanto al Laboratorio de Creación Colectiva, veredas San Miguel en el municipio de Buenos Aires y Lomitas en el municipio de Santander de Quilichao, se ratifican los espacios sede de los laboratorios, se confirma la continuidad del laboratorista, de los docentes y de los proveedores de refrigerios. Una vez se realice el primer comité con la entidad en convenio se procederá a la contratación del equipo humano. 
Para los Encuentros Subregionales: Se definen objetivos, dimensiones y alcances de los 4 Encuentros Subregionales con el propósito de plantear la metodología. 
Se adelanta Mapeo de Expresiones Artísticas del Pacífico Frontera Nariñense y Pacífico Medio: Se identifican 82 sabedores tradicionales representantes de diversas expresiones artísticas de los 15 municipios que conforman las 2 subregiones PDET. Se dio inicio a la ubicación de investigadores. 
Desde la articulación institucional se enviaron comunicados a cada una de las 83 alcaldías y delegados de cultura de las subregiones PDET en las que el Programa desarrollará sus acciones en el 2022	</t>
  </si>
  <si>
    <t>A 31 de marzo de 2022 se legaliza el convenio para el desarrollo de los circuitos y se adelanta el primer comité para acordar los procedimientos de supervisión que permitirán el correcto desarrollo de todas las acciones planeadas para llevar a cabo los componentes del 46 Salón Nacional de Artistas.</t>
  </si>
  <si>
    <t>A 31 de marzo se cuenta con la impresión de 1.462 ejemplares de la colección "Historias de la Historia de Colombia", integrada es esta vigencia por “Las mujeres de la independencia” escrito por Catalina Navas y “Reminiscencias de Santa Fe de Bogotá” del autor José María Cordovez Moure. De ellos se distribuirán 1.000 ejemplares en la Feria internacional del Libro de Bogotá que tendrá lugar del 19 de abril al 2 de mayo en Corferias. Cabe resaltar que la impresión del resto de ejemplares de estos títulos (266.538) empezará el 8 de abril debido a que hay escasez de papel en el país y la Imprenta Nacional está en el trámite de consecución.</t>
  </si>
  <si>
    <t xml:space="preserve">La Dirección de Fomento Regional asesora 1.000 municipios, 31 ciudades capitales y 32 departamentos al año para realizar asistencia técnica a la institucionalidad cultural, gestores culturales y consejos de cultura en temas relacionados con planeación, formulación de proyectos, financiación y participación ciudadana. Desde agosto de 2018 hasta el 31 de marzo de 2022 se han asesorado 1.118 de 1.134 departamentos y municipios para un avance del 98,5% acumulado (línea base cuatrienio). Para poder cumplir con el objetivo propuesto del 2022, se asesorarán 21 municipios nuevos. En la vigencia actual y hasta el 31 de marzo de 2022 se han asesorado y asistido técnicamente 178 municipios del territorio nacional.	 </t>
  </si>
  <si>
    <t xml:space="preserve">Desde que inició el programa hasta el 31 de marzo 775 municipios y 20 departamentos han girado a Colpensiones la suma de $271.656 millones para asignar a 10.741 creadores y gestores culturales los beneficios de anualidad vitalicia (9.793) y financiación de aportes al servicio social complementario de BEPS (948). Así mismo, en la presente vigencia y con corte a 31 de marzo, 29 municipios han girado a Colpensiones la suma de $3.487 millones de pesos para asignar a 130 creadores y gestores culturales los beneficios de anualidad vitalicia (104) y financiación de aportes al servicio social complementario de BEPS (26).	 </t>
  </si>
  <si>
    <t>Cumplido en 2021</t>
  </si>
  <si>
    <t xml:space="preserve">Con corte al mes de marzo, se firmó el acta de constitución y estatutos por parte de la cámara de comercio de Barranquilla y la Corporación Luis Edwardo Nieto Arteta, con estás acciones se concretó la creación de la Escuela Taller de Puerto Colombia. Así mismo, para la Escuela Taller de Puerto Tejada se está realizando el estudio de los documentos del bien inmueble aportado por la alcaldía de puerto tejada hacienda perico negro.
Contando a la fecha con 13 Escuelas Taller. 	 </t>
  </si>
  <si>
    <t xml:space="preserve">Con corte al mes de marzo, la Escuela Taller de Cali, cuenta con plan de acción aprobado y cuenta con el Taller Escuela de Telón de boca. Las otras Escuelas Taller se encuentran en espera de revisión y aprobación de los planes de acción por parte de Secretaría General.	 
Es importante resaltar que la meta del indicador se cumplió en la vigencia 2021, sin embargo, se continuarán realizando Talleres Escuela en el territorio nacional. </t>
  </si>
  <si>
    <t xml:space="preserve">Con corte a marzo se sumó a la Lista Representativa del Patrimonio Cultural Inmaterial del ámbito nacional el Plan Especial de Salvaguardia: Trenzado en Caña Flecha, prácticas y conocimientos ancestrales artesanales de la identidad Zenú. </t>
  </si>
  <si>
    <t xml:space="preserve">Con corte a marzo encuentran en proceso para su inclusión en la LICBIC: 1) Jardín Histórico de la Casa Museo Quinta de Bolívar, Bogotá. 2) Caminos patrimoniales de Santander. 3) Palacio Tayrona o Gobernación de Santa Marta 4) Puente Grande, Bogotá. 5) Parque de La Independencia, Bogotá. 6) Iglesia de San Lázaro, Tunja. 7) Obra del maestro Rogelio Salmona. 8) Paisaje vichero 9) Arquitectura tradicional palafítica y saberes asociados a la madera. 10) Parque de la Sociedad de Mejoras Públicas de Bucaramanga, Santander. 11) Lugares asociados a la memoria y conciencia en afro Villa del Rosario, Norte de Santander. 12) Construcciones en tabla parada en el municipio de Murillo, Tolima. </t>
  </si>
  <si>
    <t xml:space="preserve">Con corte a marzo se encuentran en proceso de elaboración los siguientes PEMP: 
1) Cementerio Central de Bogotá. Avance 93%. 
2) Hacienda Piedragrande – Cali. En ajustes finales por parte de la consultoría. Avance 97% 
3) Agua de Dios. avance 95% 
4) Campo de Batalla del Pantano de Vargas y Monumento a los Lanceros de Rondón. Avance 51%
5) Centro Histórico de Guaduas. Avance 30%
A la fecha, 63 Bienes de Interés Cultura del ámbito nacional cuentan con Planes Especiales de Manejo y Protección - PEMP en el cuatrienio.	 	 </t>
  </si>
  <si>
    <t xml:space="preserve">Con corte a marzo se finalizó una intervención de un Bien de Interés Cultural del Ámbito Nacional: 
1) Restauración del conjunto de 70 vitrales de la Catedral Basílica de Manizales Caldas.
Así mismo, se encuentran en ejecución las siguientes intervenciones: 
1)Parque Grancolombiano en Villa del Rosario Norte de Santander: avance del 93% 
2) Casa museo Quinta de Bolívar- Bogotá en ejecución 75% 
3) Casa Museo Rafael Núñez en ejecución 80%. 
4) Conservación en el cuartel de las Bóvedas y el Baluarte del reducto del castillo San Felipe en Cartagena de Indias en ejecución 60% 
5) Obras de Restauración Edificio Siberia, edificio mantenimiento 0% 
6) Reparaciones locativas casa Marroquí de la hacienda yerbabuena 0% 
7) Edificio de ampliación de la Escuela Taller de Buenaventura, 55% 
Contando con 72 Bienes de Interés Cultural del ámbito nacional intervenidos en el cuatrienio	 	</t>
  </si>
  <si>
    <t>Cumplido en 2019</t>
  </si>
  <si>
    <t>Con corte al mes de marzo, se realiza el lanzamiento del Plan Decenal de Lenguas Nativas y se promulga la resolución 0063 de 21 de febrero de 2022, mediante la cual se acoge el Plan Decenal de Lenguas Nativa de Colombia dando cumplimiento a lo establecido en la Ley 1381 de 2010, de acuerdo a los procesos de concertación que se adelantarán con las organizaciones continuará el proceso de implementación de acciones a desarrollarse en el marco de la ley 1381 de 2010 y Plan Decenal de Lenguas.</t>
  </si>
  <si>
    <t>Con corte al mes de marzo, se ha avanzado en el proceso de dialogo con los líderes y comunidades priorizadas, para avanzar en el proceso de concertación de las acciones que se adelantarán en los diferentes contratos, lo anterior mediante la revisión de las propuestas a desarrollar en la vigencia 2022, de igual manera de remitieron correos electrónicos con los parámetros mínimos para desarrollar dentro de la propuesta, al Consejo Comunitario Renacer Negro, Resguardo Ette Ennaka, Consejo Comunitario Yurumangui y Consejo Comunitario Nueva Esperanza.</t>
  </si>
  <si>
    <t>Con corte al mes de marzo, desde el Proyecto de Primera Infancia de la Dirección de Poblaciones, a través de la Estrategia Digital se reportó la siguiente información: MaguaRED se reportaron 42.095 usuarios que accedieron al portal. Maguaré contó con 33.287 usuarios que accedieron a los contenidos digitales, para un total de 75.382 usuarios que accedieron durante el mes. Actualmente, se tiene un acumulado de 4.188.609 usuarios que visitan los portales.</t>
  </si>
  <si>
    <t>Con corte a marzo, se han realizado los siguientes avances: la medición de la Cuenta Satélite de Cultura y Economía Naranja abarca todos los subsectores de la Economía Naranja desde 2019. En este sentido, la última publicación con resultados de 2020 arrojó el comportamiento de los 14 subsectores de la Economía Naranja y la publicación de la medición del 2021 se hará aproximadamente en el mes de julio de 2022.</t>
  </si>
  <si>
    <t>Con corte a marzo una Agenda Creativa de Cúcuta se suscribió el 26 de enero de 2022. Así mismo, 6 Agendas Creativas están listas para surtir la etapa 7 de suscripción: Buenaventura, Neiva, Villavicencio, Cundinamarca, Armenia y Pereira. 
Contando a la fecha con 13 Agendas creativas elaboradas.</t>
  </si>
  <si>
    <t>A 31 marzo se continúan realizando los talleres de Cocreación del Museo Afro de Colombia con las comunidades en Cali, Cartagena y El Carmen de Bolívar.</t>
  </si>
  <si>
    <t xml:space="preserve">Con corte a 31 de marzo se realizó la suscripción del Convenio 0573 de 2022 con Proimágenes Colombia. Durante este mes, se identificaron municipios para acompañar a través de socios y aliados como la Agencia para la Reincorporación y Normalización ARN, Ministerio de Educación Nacional, Red de Maestros Chisua e INPEC; con los cuales se empezará a ejecutar la estrategia de acompañamiento a partir del mes de abril.	</t>
  </si>
  <si>
    <t xml:space="preserve">Con corte a 31 de marzo se registraron un total de 157.447 visitas de usuarios a la plataforma (en la presente vigencia) . En su acumulado, hasta diciembre de 2021 Retina Latina logró un total de 4.705.915 visitas que sumadas con las 157.447 visitas acumuladas en 2022 da un total de 4.863.362. en lo corrido de 2022 esta meta registró un avance del 15.84%.	 </t>
  </si>
  <si>
    <t xml:space="preserve">Con corte 31 de marzo, el Programa Infancia, Juventud y Medios se articuló con el Instituto Nacional para Sordos -  INSOR para el desarrollo del diplomado en producción de contenidos; igualmente se diseñaron la Beca Audiovisual dirigida a infancias con discapacidad auditiva, Beca Serie audiovisual juvenil para creadores afrocolombianos y Beca Serie audiovisual para audiencias infantiles. Del proyecto Territorios en Diálogo se ha realizado el seguimiento a las becas de Comunicación y Territorio desde donde se reportarán contenidos y la planeación de la estrategia Laboratorios Convergentes. Así mismo, se realizó seguimiento a la beca de relatos convergentes para creadores NARP. También, se han realizado asistencias técnicas a los contenidos desarrollados en el marco de la beca Mujeres Creadoras y se diseñaron las becas de Dispositivos Móviles y Beca para nuevos creadores . 
A la fecha se han creado 941 contenidos audiovisuales culturales en el cuatrienio.	 </t>
  </si>
  <si>
    <t xml:space="preserve">Con corte a marzo de 2022: Se han realizado 11 eventos de promoción, lo cual equivale a un avance del 27,5% del total programado. Los eventos realizados son: Enero 2022: Conciertos en vivo: Un (1) concierto en vivo en el Teatro Colón de Bogotá- Concierto Inaugural de Temporada. 27 de enero de 2022. Febrero 2022: Conciertos en vivo: Tres (3) conciertos en vivo en el Teatro Colón de Bogotá, 4,10 y 24 de febrero y Un (1) concierto en vivo en el Teatro Mayor Julio Mario Santo Domingo realizado el 18 de febrero. Un (1) recital con el clarinetista Alí Lugosi el 21 de febrero del 2022. Marzo: Conciertos en vivo: Un (1) concierto en vivo Raphael Sinfónico, dos (2) conciertos en el Teatro Colsubsidio, un (1) concierto en el Teatro Colón y un (1) concierto en el Teatro Metropolitano de Medellín.	 </t>
  </si>
  <si>
    <t xml:space="preserve">Durante el mes de marzo se gestionaron recursos de cooperación internacional por valor de $21.741.000.000, para un acumulado a la fecha de $26.334.701.560, lo que representa un avance del 263,35% frente a la meta establecida para la vigencia 2022. Estos aportes corresponden a los realizados por la Unión Europea en el año 2020, para promover la integración socioeconómica y la inserción laboral y social de 1.500 jóvenes vulnerables y migrantes en las Escuelas Taller con un enfoque de formación en oficios, sostenibilidad, emprendimiento e innovación, en los departamentos de Antioquia, Atlántico y La Guajira, y el fortalecimiento de la Escuela Taller de Villa del Rosario en Norte de Santander y por el PNUD en 2021 para el proyecto Crea Territorio , con el propósito de implementar el programa de formación a formadores y fortalecimiento empresarial para emprendedores culturales y creativos de 20 territorios priorizados.	 </t>
  </si>
  <si>
    <t xml:space="preserve">El Museo Nacional cuenta con un plan de mantenimientos menores preventivos para el correcto funcionamiento de los espacios dispuestos al público, así mismo atiende la necesidades que surgen de manera no planeada, de acuerdo con esto y dentro de las actividades previstas en el mes de marzo, se realizaron mantenimientos menores relacionados con: mantenimiento de jardines, pintura de las oficinas de comunicaciones y presupuesto, mantenimiento de áreas comunes, arreglo de fuentes y mantenimiento del ascensor de servicio al público.	 </t>
  </si>
  <si>
    <t xml:space="preserve">A 31 de marzo en el Museo Nacional se han ejecutado las actividades previstas en los planes de conservación que componen el SICRE 2022 correspondientes a los meses de enero a marzo, tanto con las colecciones propias de los museos como con aquellas recibidas en préstamo para exposiciones temporales y permanentes. La implementación del SICRE cubre los distintos espacios de los museos, tanto las salas de exposición como los espacios donde se guardan las colecciones en reserva, así como el seguimiento de condiciones de obras que se encuentran en préstamo en otras entidades.	 </t>
  </si>
  <si>
    <t xml:space="preserve">A marzo de 2022, se han apoyado a través del Programa Nacional de Concertación Cultural 2.723 proyectos artísticos y culturales, así: 
A. 2.662 por convocatoria pública en las líneas de acción: 
L1- Lectura, escritura y oralidad “Leer es mi cuento” 87
L2-Festivales, Fiestas y Carnavales 873 
L3-Fortalecimiento y dinamización de procesos artísticos, patrimoniales y culturales 214 
L4-Programas de formación artística, patrimonial, cultural, presenciales, semipresenciales y/o virtuales 1106
L5-Investigación, fortalecimiento organizacional y circulación para las artes, el patrimonio cultural y la economía naranja 68
L6-Circulación artística a escala nacional 104 
L7-Fortalecimiento cultural a contextos poblacionales específicos 146 
L8-Prácticas culturales de la población con discapacidad 64 
B. 61 proyectos, en: 
Antioquia 2 
Bogotá, D.C. 4; 
Bolívar 4
Caldas 4
Caquetá 1 
Cauca 2 
Cesar 1 
Chocó 6 
Cundinamarca 1
Nariño 2 
Risaralda 1 
Santander 1 
Tolima 2 
Valle del Cauca 30 
Para un total de 2.723 en 2022 y un acumulado de 13.097 en el cuatrienio acumulado en el cuatrienio.	 </t>
  </si>
  <si>
    <t>A marzo 31 de 2022, ya se seleccionaron pero no se ha iniciado el seguimiento a los 533 proyectos que corresponden al 20% de lo 2.662 proyectos apoyados en la convocatoria 2022.</t>
  </si>
  <si>
    <t xml:space="preserve">A marzo 31 de 2022, no se han otorgado estímulos a proyectos artísticos y culturales a través del Programa Nacional de Estímulos. Para el primer trimestre se realizó el lanzamiento de los contenidos para las convocatorias 2022 del Programa.	 
A la fecha se han otorgado 6.993 estímulos en el cuatrienio, en todo el territorio nacional. </t>
  </si>
  <si>
    <t xml:space="preserve">A marzo 31 de 2022, no se han otorgado estímulos a proyectos artísticos y culturales a través del Programa Nacional de Estímulos en la vigencia 2022. Para el primer trimestre se realizará el lanzamiento de los contenidos para las convocatorias 2022 del Programa. A la fecha se han otorgado 6.993 estímulos en el cuatrienio, en todo el territorio nacional.	 </t>
  </si>
  <si>
    <t xml:space="preserve">Con corte al mes de marzo, se adelantó Grupo Focal para la validación de contenidos del MOOC de Economía Naranja con la participación de 18 validadores de los territorios. Se llevó adelante la entrega de 30 certificados de formación a formadores para igual número de beneficiarios del Curso Virtual Colombia Crea Valor. El 31 de marzo, en el Marco del Taller Construyendo País realizado en la ciudad de Ibagué, el Presidente de la República dio el anuncio de apertura al público del MOOC.	 </t>
  </si>
  <si>
    <t xml:space="preserve">Durante el mes de marzo la Estrategia Nacional de Exposiciones Itinerantes estuvo presente en siete ciudades del territorio nacional, así: Cali (Museo La Tertulia) y Cartagena (Centro de Formación de la Cooperación Española) con la exposición Hijas del Agua. En Zetaquira (Biblioteca Pública Municipal Beatriz Quevedo), Villavicencio (Corporación Cultural Municipal-CORCUMVI), Medellín (Museo de Ciencias Naturales de La Salle) y Armenia (Museo MAQUI), con la exhibición de la exposición Hitos de Libertad, la gente negra desde el museo de todos los colombianos. Finalmente, en Santa Marta (Centro Cultural del Banco de la República) se expone 1819, un año significativo. El reporte total de beneficiarios de la ENEI para el mes de marzo es de 3935 personas.	
Con lo anterior se cumple la meta establecida para la vigencia, contando a la fecha con 33 exposiciones itinerantes realizadas. </t>
  </si>
  <si>
    <t>Marzo del 2022 Se realizo un 73% de CD, un 43% de compromisos, obligado 11% y pagos por 11% del 1 enero al 31 de marzo de 2022, de acuerdo con lo enviado por las dependencias de la ejecución mensual para 2022.</t>
  </si>
  <si>
    <t xml:space="preserve">Con corte a marzo la Oficina Asesora de Planeación se encuentra realizando el seguimiento en el SIG II al Plan Estratégico Institucional, para con ello garantizar la integridad de la información, así como el envío de un correo informativo mensual a las dependencias dando a conocer las fechas de corte del sistema para el registro de los avances a los Indicadores del Plan, y la revisión por la Oficina Asesora de Planeación de los mismos mes a mes, que beneficia a todas las dependencia del Ministerio.	</t>
  </si>
  <si>
    <t xml:space="preserve">Con corte al cierre del mes de marzo, aun no se registra avance en la meta de reducción de gasto de austeridad, una vez que el acumulado del cierre del mes es de un total comprometido de $423.454.288,50, obligaciones por $167.121.599,00 y ordenes de pago por $158.272.149,00; frente a un total acumulado de compromisos del año 2021 por valor de $ 12.361.777.140,28	 </t>
  </si>
  <si>
    <t xml:space="preserve">A corte 31 de marzo se realiza acompañamiento a los procesos para la actualización de la ficha de los indicadores de gestión.	 </t>
  </si>
  <si>
    <t xml:space="preserve">A corte 31 de marzo el SGA realiza sensibilización del Día del reciclador y el reciclaje (1 marzo), Día de la eficiencia energética (5 marzo) y Día Mundial del Agua (22 marzo), mediante piezas divulgativas. Adicionalmente se realiza el autodiagnóstico del SGA frente a los requisitos de la norma ISO 14001:2015.	 </t>
  </si>
  <si>
    <t xml:space="preserve">Con corte al mes de marzo de 2022, la Oficina de Control Interno realizó la apertura a la Auditoria Interna de Gestión al subproceso de Fomento Regional, siguió desarrollando la auditoria de contratos de prestación de servicios, realizó dos reuniones de preparación para los auditores internos de calidad respecto a la sensibilización de la auditoria a MIPG y SIGI. La Oficina Asesora de Planeación dicto una capacitación sobre la Política de Gestión Ambiental. Se tabulo la información para el seguimiento a las comisiones, segundo semestre vigencia 2021.	 </t>
  </si>
  <si>
    <t xml:space="preserve">A corte del mes de marzo de 2022, se ha ejecutado un 21% correspondiente a 16 actividades de las 78 programadas dentro del Plan Institucional de Capacitación. En este periodo se llevó a cabo la planeación y desarrollo de las siguientes actividades de capacitación: 1. Capacitación aplicativo AZ-Digital. 2. Acoso Laboral, Acoso Sexual y Ciberacoso. 3. Nuevo código General Disciplinario. 4. Aplicativo PQRSD. 5. Manejo de Gabinetes y Acoples de Mangueras. 6. Uso eficiente del agua. 7. Trabajo en Equipo.	 </t>
  </si>
  <si>
    <t xml:space="preserve">En el mes de marzo, el nivel de satisfacción de las actividades realizadas fue el siguiente: 1. Capacitación aplicativo AZ-Digital, 97,6%. 2. Acoso Laboral, Acoso Sexual y Ciberacoso, 96,5%. 3. Nuevo código General Disciplinario, 96,5%. 4. Aplicativo PQRSD, 98,2%. 5. Manejo de Gabinetes y Acoples de Mangueras, 88,3%. 6. Uso eficiente del agua, 98%. 7. Trabajo en Equipo, 97,7%; para un promedio total de 96,4%	 </t>
  </si>
  <si>
    <t xml:space="preserve">En marzo se aplicaron mejores prácticas para el desarrollo de software, de acuerdo con los lineamientos del GTSI, para la realización de pasos a producción de los siguientes aplicativos: SIPA INTERVENCION - SIPA AUTORIZACION - PULEP - CINE PRDUCTO - CINE PROYECTO - SI ARTES - SIREC.	 </t>
  </si>
  <si>
    <t xml:space="preserve">Con corte a 31 de marzo de 2022 se hizo unificación de los inventarios documentales, como un instrumento archivístico que facilita la ubicación, consulta y acceso a la información, el avance de los inventarios se encuentra en AZ Digital. Igualmente se efectuaron inventarios de eliminación documental.	 </t>
  </si>
  <si>
    <t>Para el periodo comprendido entre el 1 y 31 de marzo de 2022 el coordinador del grupo de defensa judicial reportó 1 fallo favorable a los intereses del Ministerio.</t>
  </si>
  <si>
    <t xml:space="preserve">Con corte al mes de marzo, el Ministerio de Cultura y el DNP desarrollaron el PAS y el borrador del documento CONPES de Economía Naranja. Adicionalmente, estos documentos se socializaron con las diferentes áreas involucradas en la ejecución del mismo.  </t>
  </si>
  <si>
    <t>Con corte al mes de marzo, se realizó asistencia técnica a todos los 34 nodos y mesas en fortalecimiento institucional y Economía Naranja en los siguientes temas: se construyó instrumento de contenidos de la Oferta Institucional de la Dirección de Estrategia, Desarrollo y Emprendimiento para el fortalecimiento de los 34 Ecosistemas Creativos, en los siguientes frentes: Gobernanza, Grandes Proyectos, Beneficios Tributarios, Áreas de Desarrollo Naranja, Observatorios, Circulación y estímulos, Emprendimiento Cultural, Formación, Competitividad y Comunicaciones. Se avanzó en la presentación de Oferta Institucional de la Dirección en varios Nodos y Mesas y en los talleres de esquema de gobernanza. También se atendieron reuniones puntuales en temas de: Financiación de Agendas Creativas y esquema de relacionamiento.</t>
  </si>
  <si>
    <t xml:space="preserve">Con corte al mes de marzo se han realizado visitas a los diferentes Departamentos priorizados por el programa para realizar socialización del mismo y levantamiento de línea base a colectivos antiguos e interesados en hacer parte del programa para la vigencia 2022. </t>
  </si>
  <si>
    <t>Con corte a marzo, se obtuvieron los siguientes avances: 1. DECRETO 286 DE 2020: Las empresas beneficiadas en febrero marzo 2022 fueron 35 y el acumulado asciende a 1018 empresas beneficiarias. 2. DECRETO 697-2020: durante el 2022 se han avalado un total de 44 proyectos en lo transcurrido de la Convocatoria CoCrea y el acumulado de Proyectos Avalados por CoCrea 2020- 2022 es de 627. 3. CID: Entre el 01 y 31 de marzo de 2022, se recibieron (35) nuevos proyectos de economía creativa con solicitud de expedición de CID. Se han expedido un total de (76) CID con corte al 31 de marzo, correspondientes a (50) proyectos de Economía Creativa, con un valor total de aportes de $17.489.902.034 con un valor del 165% de $ 28.858.338.356 y un valor total de los proyectos de $75.024.393.534. 4. CERTIFICADOS DE INVERSIÓN NACIONAL (CINA) – Decreto 474-2020: En la presente vigencia, se han aprobado 7 proyectos de los cuales en el mes de marzo se aprobaron 2 proyectos. con una inversión en Colombia de $115.544.293.802, una contraprestación de $36.635.529.932 y la generación de 752 empleos directos. Para marzo se tienen 72 y se acumula con lo reportado en el período anterior para un total de 252.</t>
  </si>
  <si>
    <t xml:space="preserve">Cumplido en 2021, sin embargo se continúan realizando acciones.
A corte marzo se realizaron las siguientes actividades: Teniendo en cuenta que la Secretaría general y el programa nacional de Escuelas taller direccionaron el proyecto formulado en enero por la Escuela Taller Bogotá a la Escuela Taller Barichara "Diseño de una Ruta de oficios asociadas a las escuelas Taller de Colombia". Se realizó una reunión con Barichara con el objetivo de revisar el proyecto para que fuera ajustado y presentado por Barichara, quienes entregaron propuesta final el 28 de febrero. La Dirección de Patrimonio en el marco del artículo 23 de la Ley de oficios 2184 de 2022 avanzó en: -Análisis de las 12 rutas artesanales realizadas por Artesanías de Colombia cuyo lanzamiento se realizó en diciembre de 2021. -Incorporación de contenidos para la ruta de oficios a partir de los insumos del sector patrimonial como son: Escuelas Taller, Talleres Escuelas, Marco de cualificaciones, Centros Históricos, y PCI (en construcción).	</t>
  </si>
  <si>
    <t xml:space="preserve">En el mes de marzo se presentaron los siguientes espectáculos en el escenario principal del Teatro Colón: - Nanas consentidoras, concierto de Victoria Sur en la franja Familia Color el 6 de marzo a las 11 a.m. -Concierto de Pasión Vega, lanzamiento de su álbum "Todo lo que tengo", el 22 de marzo, a las 7:30 p.m. Se presentaron los siguientes espectáculos en la franja Colón Digital - 'Echoes of Calling', del 4 al 6 de marzo en alianza con la Japan Foundation - 'A man falling into the void', del 11 al 13 de marzo, en alianza con la Japan Foundation, - 'Twilight', del 18 al 20 de marzo en alianza con la Japan Foundation - 'The green table', del 25 al 27 de marzo en alianza con la Japan Foundation"	 
Para un total de 16 funciones en la vigencia. </t>
  </si>
  <si>
    <t xml:space="preserve">Con corte a 31 de Marzo de 2022, se ha finalizado 14 adecuaciones y/o dotaciones de infraestructura cultural así: 1 teatro dotado en la Ceja – Antioquia 13 salas de danza en: Milán – Caquetá, Titiribí – Antioquia, Espinal – Tolima, Rio Frio – Valle del Cauca, Cocorná-Antioquia, San Francisco-Antioquia, San Vicente del Caguán – Antioquia, Ibagué - Tolima y Puerres – Nariño, Belén de los Andaquies – Caquetá, Panqueba- Boyacá, Toledo – Norte de Santander y Facatativá, Cundinamarca, Así mismo, se adelanta la construcción, mantenimiento, dotación y adecuación de 30 infraestructuras Culturales: -Bibliotecas en construcción: 5 en Yuto, Tadó, Kamentza Inga, Roberto Payán y Macanal. -Bibliotecas en ejecución en el marco del convenio con la Embajada de Japón: 3 en San Lorenzo - Nariño, Santo Domingo - Antioquia y La Palma - Cundinamarca. Bibliotecas en adecuación: 1 en Buenaventura - Valle del Cauca. -Casa de Cultura en construcción: 6 en Cajamarca, Resguardo Yarinal, Tausa, Sácama, Istmina y Campohermoso. -Casa de Cultura en adecuación: 2 en ejecución Buenaventura - Valle del Cauca y Gomez Plata - Antioquia. -Escuela de música en construcción: 1 en Ciudad Bolívar, Antioquia. -Teatros en Construcción: 3 en Quibdó-Choco; Támesis – Antioquia y Carmen de Viboral - Antioquia. -Teatrino y sede administrativa de complejo Cultural en construcción: 1 en ejecución Buenaventura - Valle del Cauca. -Salas de danza en dotación: 8 en ejecución, en el territorio nacional. El indicador presenta un avance de 133 infraestructuras construidas, adecuadas y/o dotadas	 </t>
  </si>
  <si>
    <t xml:space="preserve">Con corte a marzo, se han divulgado 210 obras artísticas como resultado de la convocatoria de Comparte lo que Somos, por medio de redes sociales y YouTube.	 </t>
  </si>
  <si>
    <t xml:space="preserve">Con corte a Marzo , se realizó gestión con la Escuela Taller Naranja con el fin de fortalecer la unidad de negocio instalada en el Castillo de San Felipe de Barajas y en las que se instalarán en la Casa de Bolívar, ambas en la ciudad de Cartagena de Indias para dar continuidad en el acompañamiento al procesos de unidades de negocio. Cumpliendo así con la meta establecida para la vigencia.  </t>
  </si>
  <si>
    <t>A corte 31 de marzo se realizó jornadas de sensibilización de la importancia y el compromiso de la entidad con la Participación Ciudadana y Rendición de Cuentas; a estas jornadas asistieron la Dirección de Estrategia, Desarrollo y Emprendimiento, Dirección de Artes, Dirección de Patrimonio Biblioteca Nacional, Dirección del Museo Nacional e Infraestructura Cultural.</t>
  </si>
  <si>
    <t xml:space="preserve">Entre el mes de agosto de 2018 y el mes de marzo de 2022 fueron aprobados 166 proyectos ante el Sistema General de Regalías – SGR. El monto total de inversión de estos proyectos asciende a $543.127 mil millones de pesos en 27 departamentos: Antioquia, Arauca, Atlántico, Bolívar, Boyacá, Caldas, Caquetá, Casanare, Cauca, Cesar, Chocó, Córdoba, Cundinamarca, Huila, La Guajira, Magdalena, Meta, Nariño, Putumayo, Quindío, Risaralda, San Andrés, Santander, Sucre, Tolima, Valle del Cauca y Vichada. 
A la fecha, está pendiente por migrar 3 proyectos a la base de datos Gesproy-DNP por un valor de $1.210.328.281,77. 
A 31 de Marzo han sido aprobados 6 proyectos, en 5 departamentos: Boyacá, Cauca, Cundinamarca, Meta y Vichada por un valor de $16.592 millones de pesos. De estos, está pendiente por migrar 1 proyecto a la base de datos Gesproy-DNP por un valor de $530.397.226.
Así mismo, 7 proyectos fueron migrados a la base de datos Gesproy del DNP posterior al cierre de 2021, por lo cual se reporta el cargue en la presente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</si>
</sst>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 numFmtId="175" formatCode="&quot;$&quot;#,##0.00;[Red]\-&quot;$&quot;#,##0.00"/>
    <numFmt numFmtId="176" formatCode="&quot; $&quot;#,##0&quot; &quot;;&quot;-$&quot;#,##0&quot; &quot;;&quot; $- &quot;;&quot; &quot;@&quot; &quot;"/>
    <numFmt numFmtId="177" formatCode="&quot; $ &quot;#,##0.00&quot; &quot;;&quot; $ (&quot;#,##0.00&quot;)&quot;;&quot; $ -&quot;#&quot; &quot;;&quot; &quot;@&quot; &quot;"/>
    <numFmt numFmtId="178" formatCode="&quot; $ &quot;#,##0&quot; &quot;;&quot; $ (&quot;#,##0&quot;)&quot;;&quot; $ - &quot;;&quot; &quot;@&quot; &quot;"/>
    <numFmt numFmtId="179" formatCode="&quot; &quot;&quot;$&quot;&quot; &quot;#,##0.00&quot; &quot;;&quot; &quot;&quot;$&quot;&quot; (&quot;#,##0.00&quot;)&quot;;&quot; &quot;&quot;$&quot;&quot; -&quot;00&quot; &quot;;&quot; &quot;@&quot; &quot;"/>
    <numFmt numFmtId="180" formatCode="&quot; &quot;#,##0&quot; &quot;;&quot;-&quot;#,##0&quot; &quot;;&quot; - &quot;;&quot; &quot;@&quot; &quot;"/>
    <numFmt numFmtId="181" formatCode="&quot; &quot;#,##0.00&quot; &quot;;&quot;-&quot;#,##0.00&quot; &quot;;&quot; -&quot;#&quot; &quot;;&quot; &quot;@&quot; &quot;"/>
    <numFmt numFmtId="182" formatCode="&quot; $&quot;#,##0.00&quot; &quot;;&quot;-$&quot;#,##0.00&quot; &quot;;&quot; $-&quot;#&quot; &quot;;&quot; &quot;@&quot; &quot;"/>
    <numFmt numFmtId="183" formatCode="[$$-80A]#,##0.00;[Red]&quot;-&quot;[$$-80A]#,##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font>
    <font>
      <sz val="11"/>
      <color rgb="FF000000"/>
      <name val="Arial"/>
      <family val="2"/>
    </font>
    <font>
      <b/>
      <sz val="11"/>
      <color rgb="FFFF0000"/>
      <name val="Arial"/>
      <family val="2"/>
    </font>
    <font>
      <b/>
      <sz val="12"/>
      <color theme="0"/>
      <name val="Arial"/>
      <family val="2"/>
    </font>
    <font>
      <b/>
      <sz val="12"/>
      <name val="Arial"/>
      <family val="2"/>
    </font>
    <font>
      <b/>
      <sz val="12"/>
      <color rgb="FFFFFFFF"/>
      <name val="Calibri"/>
      <family val="2"/>
    </font>
    <font>
      <sz val="12"/>
      <name val="Arial"/>
      <family val="2"/>
    </font>
    <font>
      <b/>
      <sz val="12"/>
      <color theme="1"/>
      <name val="Arial"/>
      <family val="2"/>
    </font>
    <font>
      <b/>
      <i/>
      <sz val="16"/>
      <color rgb="FF000000"/>
      <name val="Arial"/>
      <family val="2"/>
    </font>
    <font>
      <sz val="10"/>
      <color rgb="FF000000"/>
      <name val="Verdana"/>
      <family val="2"/>
    </font>
    <font>
      <b/>
      <i/>
      <u/>
      <sz val="11"/>
      <color rgb="FF000000"/>
      <name val="Arial"/>
      <family val="2"/>
    </font>
    <font>
      <b/>
      <sz val="14"/>
      <name val="Arial"/>
      <family val="2"/>
    </font>
    <font>
      <b/>
      <sz val="12"/>
      <color rgb="FFFF0000"/>
      <name val="Arial"/>
      <family val="2"/>
    </font>
    <font>
      <b/>
      <sz val="28"/>
      <color rgb="FF000000"/>
      <name val="Arial"/>
      <family val="2"/>
    </font>
    <font>
      <b/>
      <sz val="11"/>
      <color rgb="FFFF0000"/>
      <name val="Calibri"/>
      <family val="2"/>
    </font>
    <font>
      <sz val="8"/>
      <name val="Calibri"/>
      <family val="2"/>
      <scheme val="minor"/>
    </font>
    <font>
      <sz val="13"/>
      <name val="Arial"/>
      <family val="2"/>
    </font>
    <font>
      <sz val="11"/>
      <color theme="0"/>
      <name val="Calibri"/>
      <family val="2"/>
      <scheme val="minor"/>
    </font>
  </fonts>
  <fills count="8">
    <fill>
      <patternFill patternType="none"/>
    </fill>
    <fill>
      <patternFill patternType="gray125"/>
    </fill>
    <fill>
      <patternFill patternType="solid">
        <fgColor rgb="FFFFFF00"/>
        <bgColor theme="4"/>
      </patternFill>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top style="thin">
        <color auto="1"/>
      </top>
      <bottom style="medium">
        <color indexed="64"/>
      </bottom>
      <diagonal/>
    </border>
  </borders>
  <cellStyleXfs count="127">
    <xf numFmtId="0" fontId="0" fillId="0" borderId="0"/>
    <xf numFmtId="9" fontId="1" fillId="0" borderId="0" applyFont="0" applyFill="0" applyBorder="0" applyAlignment="0" applyProtection="0"/>
    <xf numFmtId="164" fontId="5" fillId="0" borderId="0" applyBorder="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166" fontId="5" fillId="0" borderId="0" applyBorder="0" applyProtection="0"/>
    <xf numFmtId="170" fontId="5" fillId="0" borderId="0" applyBorder="0" applyProtection="0"/>
    <xf numFmtId="179" fontId="6" fillId="0" borderId="0" applyFont="0" applyFill="0" applyBorder="0" applyAlignment="0" applyProtection="0"/>
    <xf numFmtId="177" fontId="5" fillId="0" borderId="0" applyBorder="0" applyProtection="0"/>
    <xf numFmtId="178" fontId="5"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180"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64" fontId="14" fillId="0" borderId="0" applyBorder="0" applyProtection="0"/>
    <xf numFmtId="166" fontId="5" fillId="0" borderId="0" applyBorder="0" applyProtection="0"/>
    <xf numFmtId="0" fontId="15" fillId="0" borderId="0" applyNumberFormat="0" applyBorder="0" applyProtection="0"/>
    <xf numFmtId="183" fontId="15" fillId="0" borderId="0" applyBorder="0" applyProtection="0"/>
    <xf numFmtId="0" fontId="1" fillId="0" borderId="0"/>
    <xf numFmtId="0" fontId="1" fillId="0" borderId="0"/>
    <xf numFmtId="43" fontId="1" fillId="0" borderId="0" applyFont="0" applyFill="0" applyBorder="0" applyAlignment="0" applyProtection="0"/>
  </cellStyleXfs>
  <cellXfs count="225">
    <xf numFmtId="0" fontId="0" fillId="0" borderId="0" xfId="0"/>
    <xf numFmtId="0" fontId="0" fillId="0" borderId="0" xfId="0" applyAlignment="1">
      <alignment horizontal="center"/>
    </xf>
    <xf numFmtId="0" fontId="0" fillId="0" borderId="0" xfId="0" pivotButton="1"/>
    <xf numFmtId="3" fontId="0" fillId="0" borderId="0" xfId="0" applyNumberFormat="1" applyAlignment="1">
      <alignment horizontal="center"/>
    </xf>
    <xf numFmtId="0" fontId="2" fillId="0" borderId="0" xfId="0" applyFont="1" applyAlignment="1">
      <alignment horizontal="center"/>
    </xf>
    <xf numFmtId="22" fontId="4" fillId="0" borderId="0" xfId="0" applyNumberFormat="1" applyFont="1" applyAlignment="1">
      <alignment horizontal="center"/>
    </xf>
    <xf numFmtId="22" fontId="0" fillId="0" borderId="0" xfId="0" applyNumberFormat="1"/>
    <xf numFmtId="9" fontId="3" fillId="2" borderId="1" xfId="1" applyFont="1" applyFill="1" applyBorder="1" applyAlignment="1">
      <alignment horizontal="center" vertical="center"/>
    </xf>
    <xf numFmtId="9" fontId="0" fillId="0" borderId="0" xfId="1" applyFont="1" applyAlignment="1">
      <alignment horizontal="center"/>
    </xf>
    <xf numFmtId="0" fontId="3" fillId="2" borderId="1" xfId="0" applyFont="1" applyFill="1" applyBorder="1" applyAlignment="1">
      <alignment horizontal="center" vertical="center" wrapText="1"/>
    </xf>
    <xf numFmtId="9" fontId="0" fillId="0" borderId="0" xfId="0" applyNumberFormat="1" applyFont="1" applyAlignment="1">
      <alignment horizontal="center"/>
    </xf>
    <xf numFmtId="10" fontId="0" fillId="0" borderId="0" xfId="0" applyNumberFormat="1" applyAlignment="1">
      <alignment horizontal="center"/>
    </xf>
    <xf numFmtId="22" fontId="3" fillId="0" borderId="0" xfId="0" applyNumberFormat="1" applyFont="1" applyAlignment="1">
      <alignment horizontal="center"/>
    </xf>
    <xf numFmtId="164" fontId="5" fillId="0" borderId="0" xfId="2" applyAlignment="1">
      <alignment horizontal="center" vertical="center" wrapText="1"/>
    </xf>
    <xf numFmtId="164" fontId="5" fillId="0" borderId="0" xfId="2" applyAlignment="1">
      <alignment vertical="center" wrapText="1"/>
    </xf>
    <xf numFmtId="165" fontId="7" fillId="3" borderId="1" xfId="2" applyNumberFormat="1" applyFont="1" applyFill="1" applyBorder="1" applyAlignment="1">
      <alignment horizontal="center" vertical="center" wrapText="1"/>
    </xf>
    <xf numFmtId="165" fontId="10" fillId="0" borderId="0" xfId="2" applyNumberFormat="1" applyFont="1" applyAlignment="1">
      <alignment horizontal="center" vertical="center" wrapText="1"/>
    </xf>
    <xf numFmtId="0" fontId="11" fillId="0" borderId="1" xfId="3" applyFont="1" applyBorder="1" applyAlignment="1">
      <alignment horizontal="center" vertical="center" wrapText="1"/>
    </xf>
    <xf numFmtId="164" fontId="11" fillId="0" borderId="1" xfId="2" applyFont="1" applyBorder="1" applyAlignment="1">
      <alignment horizontal="center" vertical="center" wrapText="1"/>
    </xf>
    <xf numFmtId="164" fontId="11" fillId="0" borderId="6" xfId="2" applyFont="1" applyBorder="1" applyAlignment="1">
      <alignment horizontal="center" vertical="center" wrapText="1"/>
    </xf>
    <xf numFmtId="0" fontId="11" fillId="0" borderId="0" xfId="3" applyFont="1" applyAlignment="1">
      <alignment vertical="center" wrapText="1"/>
    </xf>
    <xf numFmtId="166" fontId="11" fillId="0" borderId="1" xfId="2" applyNumberFormat="1" applyFont="1" applyBorder="1" applyAlignment="1">
      <alignment horizontal="center" vertical="center" wrapText="1"/>
    </xf>
    <xf numFmtId="166" fontId="11" fillId="0" borderId="1" xfId="6" applyFont="1" applyBorder="1" applyAlignment="1">
      <alignment horizontal="center" vertical="center" wrapText="1"/>
    </xf>
    <xf numFmtId="166" fontId="11" fillId="0" borderId="6" xfId="6" applyFont="1" applyBorder="1" applyAlignment="1">
      <alignment horizontal="center" vertical="center" wrapText="1"/>
    </xf>
    <xf numFmtId="3" fontId="11" fillId="0" borderId="1" xfId="6" applyNumberFormat="1" applyFont="1" applyBorder="1" applyAlignment="1">
      <alignment horizontal="center" vertical="center" wrapText="1"/>
    </xf>
    <xf numFmtId="3" fontId="11" fillId="0" borderId="6" xfId="6"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164" fontId="11" fillId="0" borderId="1" xfId="6" applyNumberFormat="1" applyFont="1" applyBorder="1" applyAlignment="1">
      <alignment horizontal="center" vertical="center" wrapText="1"/>
    </xf>
    <xf numFmtId="164" fontId="11" fillId="0" borderId="6" xfId="6" applyNumberFormat="1" applyFont="1" applyBorder="1" applyAlignment="1">
      <alignment horizontal="center" vertical="center" wrapText="1"/>
    </xf>
    <xf numFmtId="166" fontId="11" fillId="0" borderId="6" xfId="2" applyNumberFormat="1" applyFont="1" applyBorder="1" applyAlignment="1">
      <alignment horizontal="center" vertical="center" wrapText="1"/>
    </xf>
    <xf numFmtId="169" fontId="11" fillId="0" borderId="1" xfId="2" applyNumberFormat="1" applyFont="1" applyBorder="1" applyAlignment="1">
      <alignment horizontal="center" vertical="center" wrapText="1"/>
    </xf>
    <xf numFmtId="165" fontId="11" fillId="0" borderId="6" xfId="2" applyNumberFormat="1" applyFont="1" applyBorder="1" applyAlignment="1">
      <alignment horizontal="center" vertical="center" wrapText="1"/>
    </xf>
    <xf numFmtId="171" fontId="11" fillId="0" borderId="1" xfId="7" applyNumberFormat="1" applyFont="1" applyBorder="1" applyAlignment="1">
      <alignment horizontal="center" vertical="center" wrapText="1"/>
    </xf>
    <xf numFmtId="171" fontId="11" fillId="0" borderId="6" xfId="7" applyNumberFormat="1" applyFont="1" applyBorder="1" applyAlignment="1">
      <alignment horizontal="center" vertical="center" wrapText="1"/>
    </xf>
    <xf numFmtId="172" fontId="11" fillId="0" borderId="1" xfId="2" applyNumberFormat="1" applyFont="1" applyBorder="1" applyAlignment="1">
      <alignment horizontal="center" vertical="center" wrapText="1"/>
    </xf>
    <xf numFmtId="172" fontId="11" fillId="0" borderId="6" xfId="2" applyNumberFormat="1" applyFont="1" applyBorder="1" applyAlignment="1">
      <alignment horizontal="center" vertical="center" wrapText="1"/>
    </xf>
    <xf numFmtId="1" fontId="11" fillId="0" borderId="1" xfId="2" applyNumberFormat="1" applyFont="1" applyBorder="1" applyAlignment="1">
      <alignment horizontal="center" vertical="center" wrapText="1"/>
    </xf>
    <xf numFmtId="1" fontId="11" fillId="0" borderId="6" xfId="2" applyNumberFormat="1" applyFont="1" applyBorder="1" applyAlignment="1">
      <alignment horizontal="center" vertical="center" wrapText="1"/>
    </xf>
    <xf numFmtId="174" fontId="11" fillId="0" borderId="1" xfId="2" applyNumberFormat="1" applyFont="1" applyBorder="1" applyAlignment="1">
      <alignment horizontal="center" vertical="center" wrapText="1"/>
    </xf>
    <xf numFmtId="174" fontId="11" fillId="0" borderId="6" xfId="2" applyNumberFormat="1" applyFont="1" applyBorder="1" applyAlignment="1">
      <alignment horizontal="center" vertical="center" wrapText="1"/>
    </xf>
    <xf numFmtId="166" fontId="11" fillId="0" borderId="7" xfId="6" applyFont="1" applyBorder="1" applyAlignment="1">
      <alignment horizontal="center" vertical="center" wrapText="1"/>
    </xf>
    <xf numFmtId="166" fontId="11" fillId="0" borderId="8" xfId="6" applyFont="1" applyBorder="1" applyAlignment="1">
      <alignment horizontal="center" vertical="center" wrapText="1"/>
    </xf>
    <xf numFmtId="0" fontId="6" fillId="0" borderId="0" xfId="3"/>
    <xf numFmtId="164" fontId="0" fillId="0" borderId="0" xfId="2" applyFont="1" applyAlignment="1">
      <alignment horizontal="center" vertical="center"/>
    </xf>
    <xf numFmtId="164" fontId="0" fillId="0" borderId="0" xfId="2" applyFont="1" applyAlignment="1">
      <alignment horizontal="justify" vertical="center"/>
    </xf>
    <xf numFmtId="0" fontId="6" fillId="0" borderId="9" xfId="3" applyBorder="1" applyAlignment="1">
      <alignment horizontal="justify" vertical="center"/>
    </xf>
    <xf numFmtId="175" fontId="0" fillId="0" borderId="0" xfId="2" applyNumberFormat="1" applyFont="1" applyAlignment="1">
      <alignment horizontal="justify" vertical="center"/>
    </xf>
    <xf numFmtId="164" fontId="0" fillId="0" borderId="0" xfId="2" applyFont="1" applyAlignment="1">
      <alignment vertical="center"/>
    </xf>
    <xf numFmtId="0" fontId="6" fillId="0" borderId="0" xfId="3"/>
    <xf numFmtId="166" fontId="11" fillId="0" borderId="1" xfId="2"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168" fontId="11" fillId="0" borderId="1" xfId="5" applyNumberFormat="1" applyFont="1" applyFill="1" applyBorder="1" applyAlignment="1">
      <alignment horizontal="center" vertical="center" wrapText="1"/>
    </xf>
    <xf numFmtId="166" fontId="11" fillId="0" borderId="1" xfId="6" applyFont="1" applyFill="1" applyBorder="1" applyAlignment="1">
      <alignment horizontal="center" vertical="center" wrapText="1"/>
    </xf>
    <xf numFmtId="164" fontId="11" fillId="0" borderId="1" xfId="2" applyFont="1" applyFill="1" applyBorder="1" applyAlignment="1">
      <alignment vertical="center" wrapText="1"/>
    </xf>
    <xf numFmtId="165" fontId="11" fillId="0" borderId="1" xfId="2" applyNumberFormat="1" applyFont="1" applyFill="1" applyBorder="1" applyAlignment="1">
      <alignment horizontal="center" vertical="center" wrapText="1"/>
    </xf>
    <xf numFmtId="164" fontId="11" fillId="0" borderId="1" xfId="6" applyNumberFormat="1" applyFont="1" applyFill="1" applyBorder="1" applyAlignment="1">
      <alignment horizontal="center" vertical="center" wrapText="1"/>
    </xf>
    <xf numFmtId="171" fontId="11" fillId="0" borderId="1" xfId="7" applyNumberFormat="1" applyFont="1" applyFill="1" applyBorder="1" applyAlignment="1">
      <alignment horizontal="center" vertical="center" wrapText="1"/>
    </xf>
    <xf numFmtId="172"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3" applyFont="1" applyFill="1" applyBorder="1" applyAlignment="1">
      <alignment horizontal="left" vertical="center" wrapText="1"/>
    </xf>
    <xf numFmtId="173" fontId="11" fillId="0" borderId="1" xfId="2" applyNumberFormat="1" applyFont="1" applyFill="1" applyBorder="1" applyAlignment="1">
      <alignment horizontal="center" vertical="center" wrapText="1"/>
    </xf>
    <xf numFmtId="174" fontId="11" fillId="0" borderId="1" xfId="2" applyNumberFormat="1" applyFont="1" applyFill="1" applyBorder="1" applyAlignment="1">
      <alignment horizontal="center" vertical="center" wrapText="1"/>
    </xf>
    <xf numFmtId="9" fontId="11" fillId="0" borderId="6" xfId="4" applyFont="1" applyFill="1" applyBorder="1" applyAlignment="1">
      <alignment horizontal="center" vertical="center" wrapText="1"/>
    </xf>
    <xf numFmtId="164" fontId="11" fillId="0" borderId="7" xfId="2" applyFont="1" applyFill="1" applyBorder="1" applyAlignment="1">
      <alignment horizontal="justify" vertical="center" wrapText="1"/>
    </xf>
    <xf numFmtId="166" fontId="11" fillId="0" borderId="7" xfId="2" applyNumberFormat="1" applyFont="1" applyFill="1" applyBorder="1" applyAlignment="1">
      <alignment horizontal="center" vertical="center" wrapText="1"/>
    </xf>
    <xf numFmtId="168" fontId="11" fillId="0" borderId="6" xfId="5" applyNumberFormat="1"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74" fontId="11" fillId="0" borderId="7" xfId="6" applyNumberFormat="1" applyFont="1" applyFill="1" applyBorder="1" applyAlignment="1">
      <alignment horizontal="center" vertical="center" wrapText="1"/>
    </xf>
    <xf numFmtId="164" fontId="11" fillId="0" borderId="7" xfId="2" applyFont="1" applyFill="1" applyBorder="1" applyAlignment="1">
      <alignment horizontal="left" vertical="center" wrapText="1"/>
    </xf>
    <xf numFmtId="165" fontId="7" fillId="3" borderId="11" xfId="2" applyNumberFormat="1" applyFont="1" applyFill="1" applyBorder="1" applyAlignment="1">
      <alignment horizontal="center" vertical="center" wrapText="1"/>
    </xf>
    <xf numFmtId="0" fontId="11" fillId="0" borderId="11" xfId="3" applyFont="1" applyBorder="1" applyAlignment="1">
      <alignment horizontal="center" vertical="center" wrapText="1"/>
    </xf>
    <xf numFmtId="164" fontId="11" fillId="0" borderId="3" xfId="2" applyFont="1" applyFill="1" applyBorder="1" applyAlignment="1">
      <alignment horizontal="justify"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left" vertical="center" wrapText="1"/>
    </xf>
    <xf numFmtId="164" fontId="11" fillId="0" borderId="3" xfId="2" applyFont="1" applyBorder="1" applyAlignment="1">
      <alignment horizontal="center" vertical="center" wrapText="1"/>
    </xf>
    <xf numFmtId="164" fontId="11" fillId="0" borderId="4" xfId="2" applyFont="1" applyBorder="1" applyAlignment="1">
      <alignment horizontal="center" vertical="center" wrapText="1"/>
    </xf>
    <xf numFmtId="164" fontId="16" fillId="0" borderId="3" xfId="2" applyFont="1" applyBorder="1" applyAlignment="1">
      <alignment horizontal="center" vertical="center" wrapText="1"/>
    </xf>
    <xf numFmtId="166" fontId="16" fillId="0" borderId="1" xfId="2" applyNumberFormat="1" applyFont="1" applyFill="1" applyBorder="1" applyAlignment="1">
      <alignment horizontal="center" vertical="center" wrapText="1"/>
    </xf>
    <xf numFmtId="168" fontId="16" fillId="0" borderId="1" xfId="5" applyNumberFormat="1" applyFont="1" applyFill="1" applyBorder="1" applyAlignment="1">
      <alignment horizontal="center" vertical="center" wrapText="1"/>
    </xf>
    <xf numFmtId="166" fontId="16" fillId="0" borderId="1" xfId="6" applyFont="1" applyFill="1" applyBorder="1" applyAlignment="1">
      <alignment horizontal="center" vertical="center" wrapText="1"/>
    </xf>
    <xf numFmtId="164" fontId="16" fillId="0" borderId="1" xfId="2" applyFont="1" applyFill="1" applyBorder="1" applyAlignment="1">
      <alignment horizontal="center" vertical="center" wrapText="1"/>
    </xf>
    <xf numFmtId="165" fontId="16" fillId="0" borderId="1" xfId="2" applyNumberFormat="1" applyFont="1" applyFill="1" applyBorder="1" applyAlignment="1">
      <alignment horizontal="center" vertical="center" wrapText="1"/>
    </xf>
    <xf numFmtId="171" fontId="16" fillId="0" borderId="1" xfId="7" applyNumberFormat="1"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6" fillId="0" borderId="1" xfId="3" applyNumberFormat="1"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9" fontId="16" fillId="0" borderId="1" xfId="4" applyFont="1" applyFill="1" applyBorder="1" applyAlignment="1">
      <alignment horizontal="center" vertical="center" wrapText="1"/>
    </xf>
    <xf numFmtId="166" fontId="16" fillId="0" borderId="7" xfId="6" applyFont="1" applyFill="1" applyBorder="1" applyAlignment="1">
      <alignment horizontal="center" vertical="center" wrapText="1"/>
    </xf>
    <xf numFmtId="164" fontId="11" fillId="0" borderId="1" xfId="2" applyFont="1" applyFill="1" applyBorder="1" applyAlignment="1">
      <alignment horizontal="left" vertical="top" wrapText="1"/>
    </xf>
    <xf numFmtId="164" fontId="16" fillId="0" borderId="1" xfId="2" applyFont="1" applyBorder="1" applyAlignment="1">
      <alignment horizontal="center" vertical="center" wrapText="1"/>
    </xf>
    <xf numFmtId="166"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166" fontId="16" fillId="0" borderId="1" xfId="2" applyNumberFormat="1" applyFont="1" applyBorder="1" applyAlignment="1">
      <alignment horizontal="center" vertical="center" wrapText="1"/>
    </xf>
    <xf numFmtId="169" fontId="16" fillId="0" borderId="1" xfId="2" applyNumberFormat="1" applyFont="1" applyBorder="1" applyAlignment="1">
      <alignment horizontal="center" vertical="center" wrapText="1"/>
    </xf>
    <xf numFmtId="165" fontId="16" fillId="0" borderId="1" xfId="2" applyNumberFormat="1" applyFont="1" applyBorder="1" applyAlignment="1">
      <alignment horizontal="center" vertical="center" wrapText="1"/>
    </xf>
    <xf numFmtId="171" fontId="16" fillId="0" borderId="1" xfId="7" applyNumberFormat="1" applyFont="1" applyBorder="1" applyAlignment="1">
      <alignment horizontal="center" vertical="center" wrapText="1"/>
    </xf>
    <xf numFmtId="172" fontId="16" fillId="0" borderId="1" xfId="2" applyNumberFormat="1" applyFont="1" applyBorder="1" applyAlignment="1">
      <alignment horizontal="center" vertical="center" wrapText="1"/>
    </xf>
    <xf numFmtId="1" fontId="16" fillId="0" borderId="1" xfId="2" applyNumberFormat="1" applyFont="1" applyBorder="1" applyAlignment="1">
      <alignment horizontal="center" vertical="center" wrapText="1"/>
    </xf>
    <xf numFmtId="174" fontId="16" fillId="0" borderId="1" xfId="2" applyNumberFormat="1" applyFont="1" applyBorder="1" applyAlignment="1">
      <alignment horizontal="center" vertical="center" wrapText="1"/>
    </xf>
    <xf numFmtId="166" fontId="16" fillId="0" borderId="7" xfId="6" applyFont="1" applyBorder="1" applyAlignment="1">
      <alignment horizontal="center" vertical="center" wrapText="1"/>
    </xf>
    <xf numFmtId="164" fontId="16" fillId="0" borderId="3" xfId="2" applyFont="1" applyFill="1" applyBorder="1" applyAlignment="1">
      <alignment horizontal="center" vertical="center" wrapText="1"/>
    </xf>
    <xf numFmtId="3" fontId="8" fillId="4" borderId="13" xfId="3" applyNumberFormat="1" applyFont="1" applyFill="1" applyBorder="1" applyAlignment="1">
      <alignment horizontal="center" vertical="center" wrapText="1"/>
    </xf>
    <xf numFmtId="3" fontId="8" fillId="4" borderId="14"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11" fillId="5" borderId="16" xfId="3" applyNumberFormat="1" applyFont="1" applyFill="1" applyBorder="1" applyAlignment="1">
      <alignment horizontal="center" vertical="center" wrapText="1"/>
    </xf>
    <xf numFmtId="9" fontId="11" fillId="6" borderId="16" xfId="4" applyFont="1" applyFill="1" applyBorder="1" applyAlignment="1">
      <alignment horizontal="center" vertical="center" wrapText="1"/>
    </xf>
    <xf numFmtId="3" fontId="11" fillId="6" borderId="16" xfId="3" applyNumberFormat="1" applyFont="1" applyFill="1" applyBorder="1" applyAlignment="1">
      <alignment horizontal="center" vertical="center" wrapText="1"/>
    </xf>
    <xf numFmtId="3" fontId="11" fillId="5" borderId="17" xfId="3" applyNumberFormat="1" applyFont="1" applyFill="1" applyBorder="1" applyAlignment="1">
      <alignment horizontal="center" vertical="center" wrapText="1"/>
    </xf>
    <xf numFmtId="3" fontId="16" fillId="5" borderId="16" xfId="3" applyNumberFormat="1" applyFont="1" applyFill="1" applyBorder="1" applyAlignment="1">
      <alignment horizontal="center" vertical="center" wrapText="1"/>
    </xf>
    <xf numFmtId="164" fontId="19" fillId="0" borderId="0" xfId="2" applyFont="1" applyAlignment="1">
      <alignment horizontal="left" vertical="center"/>
    </xf>
    <xf numFmtId="3" fontId="9" fillId="0" borderId="16" xfId="3" applyNumberFormat="1" applyFont="1" applyBorder="1" applyAlignment="1">
      <alignment horizontal="center" vertical="center" wrapText="1"/>
    </xf>
    <xf numFmtId="9" fontId="11" fillId="3" borderId="16" xfId="4" applyFont="1" applyFill="1" applyBorder="1" applyAlignment="1">
      <alignment horizontal="center" vertical="center" wrapText="1"/>
    </xf>
    <xf numFmtId="9" fontId="11" fillId="0" borderId="1" xfId="2" applyNumberFormat="1" applyFont="1" applyFill="1" applyBorder="1" applyAlignment="1">
      <alignment horizontal="center" vertical="center" wrapText="1"/>
    </xf>
    <xf numFmtId="9" fontId="11" fillId="0" borderId="1" xfId="2" applyNumberFormat="1" applyFont="1" applyBorder="1" applyAlignment="1">
      <alignment horizontal="center" vertical="center" wrapText="1"/>
    </xf>
    <xf numFmtId="165" fontId="11" fillId="0" borderId="0" xfId="3" applyNumberFormat="1" applyFont="1" applyAlignment="1">
      <alignment vertical="center" wrapText="1"/>
    </xf>
    <xf numFmtId="43" fontId="11" fillId="0" borderId="1" xfId="126" applyFont="1" applyFill="1" applyBorder="1" applyAlignment="1">
      <alignment horizontal="center" vertical="center" wrapText="1"/>
    </xf>
    <xf numFmtId="164" fontId="18" fillId="0" borderId="0" xfId="2" applyFont="1" applyBorder="1" applyAlignment="1">
      <alignment vertical="center" wrapText="1"/>
    </xf>
    <xf numFmtId="164" fontId="11" fillId="0" borderId="7" xfId="2" applyFont="1" applyFill="1" applyBorder="1" applyAlignment="1">
      <alignment horizontal="justify" vertical="center" wrapText="1"/>
    </xf>
    <xf numFmtId="3" fontId="8" fillId="4" borderId="2" xfId="3" applyNumberFormat="1" applyFont="1" applyFill="1" applyBorder="1" applyAlignment="1">
      <alignment horizontal="center" vertical="center" wrapText="1"/>
    </xf>
    <xf numFmtId="3" fontId="8" fillId="4" borderId="3" xfId="3" applyNumberFormat="1" applyFont="1" applyFill="1" applyBorder="1" applyAlignment="1">
      <alignment horizontal="center" vertical="center" wrapText="1"/>
    </xf>
    <xf numFmtId="3" fontId="9" fillId="5" borderId="3" xfId="3" applyNumberFormat="1" applyFont="1" applyFill="1" applyBorder="1" applyAlignment="1">
      <alignment horizontal="center" vertical="center" wrapText="1"/>
    </xf>
    <xf numFmtId="9" fontId="11" fillId="7" borderId="3" xfId="4" applyFont="1" applyFill="1" applyBorder="1" applyAlignment="1">
      <alignment horizontal="center" vertical="center" wrapText="1"/>
    </xf>
    <xf numFmtId="174" fontId="11" fillId="0" borderId="7" xfId="6" applyNumberFormat="1" applyFont="1" applyBorder="1" applyAlignment="1">
      <alignment horizontal="center" vertical="center" wrapText="1"/>
    </xf>
    <xf numFmtId="9" fontId="9" fillId="6" borderId="3" xfId="4" applyFont="1" applyFill="1" applyBorder="1" applyAlignment="1">
      <alignment horizontal="center" vertical="center" wrapText="1"/>
    </xf>
    <xf numFmtId="9" fontId="9" fillId="0" borderId="1" xfId="4" applyFont="1" applyFill="1" applyBorder="1" applyAlignment="1">
      <alignment horizontal="center" vertical="center" wrapText="1"/>
    </xf>
    <xf numFmtId="173" fontId="9" fillId="0" borderId="1" xfId="4" applyNumberFormat="1" applyFont="1" applyFill="1" applyBorder="1" applyAlignment="1">
      <alignment horizontal="center" vertical="center" wrapText="1"/>
    </xf>
    <xf numFmtId="9" fontId="9" fillId="0" borderId="1" xfId="1" applyFont="1" applyBorder="1" applyAlignment="1">
      <alignment horizontal="center" vertical="center" wrapText="1"/>
    </xf>
    <xf numFmtId="9" fontId="9" fillId="0" borderId="7" xfId="4" applyFont="1" applyFill="1" applyBorder="1" applyAlignment="1">
      <alignment horizontal="center" vertical="center" wrapText="1"/>
    </xf>
    <xf numFmtId="164" fontId="11" fillId="0" borderId="1" xfId="4" applyNumberFormat="1" applyFont="1" applyFill="1" applyBorder="1" applyAlignment="1">
      <alignment horizontal="center" vertical="center" wrapText="1"/>
    </xf>
    <xf numFmtId="9" fontId="11" fillId="0" borderId="7" xfId="4" applyFont="1" applyFill="1" applyBorder="1" applyAlignment="1">
      <alignment horizontal="center" vertical="center" wrapText="1"/>
    </xf>
    <xf numFmtId="9" fontId="11" fillId="0" borderId="0" xfId="4" applyFont="1" applyFill="1" applyBorder="1" applyAlignment="1">
      <alignment horizontal="center" vertical="center" wrapText="1"/>
    </xf>
    <xf numFmtId="166" fontId="11" fillId="0" borderId="0" xfId="6" applyFont="1" applyBorder="1" applyAlignment="1">
      <alignment horizontal="center" vertical="center" wrapText="1"/>
    </xf>
    <xf numFmtId="0" fontId="11" fillId="0" borderId="6" xfId="3" applyFont="1" applyBorder="1" applyAlignment="1">
      <alignment vertical="center" wrapText="1"/>
    </xf>
    <xf numFmtId="0" fontId="11" fillId="0" borderId="8" xfId="3" applyFont="1" applyBorder="1" applyAlignment="1">
      <alignment vertical="center" wrapText="1"/>
    </xf>
    <xf numFmtId="0" fontId="9" fillId="6" borderId="4" xfId="3" applyFont="1" applyFill="1" applyBorder="1" applyAlignment="1">
      <alignment horizontal="center" vertical="center" wrapText="1"/>
    </xf>
    <xf numFmtId="165" fontId="11" fillId="0" borderId="6" xfId="3" applyNumberFormat="1" applyFont="1" applyBorder="1" applyAlignment="1">
      <alignment vertical="center" wrapText="1"/>
    </xf>
    <xf numFmtId="164" fontId="11" fillId="0" borderId="0" xfId="2" applyFont="1" applyFill="1" applyBorder="1" applyAlignment="1">
      <alignment horizontal="center" vertical="center" wrapText="1"/>
    </xf>
    <xf numFmtId="164" fontId="11" fillId="0" borderId="0" xfId="2" applyFont="1" applyFill="1" applyBorder="1" applyAlignment="1">
      <alignment horizontal="left" vertical="center" wrapText="1"/>
    </xf>
    <xf numFmtId="164" fontId="11" fillId="0" borderId="0" xfId="2" applyFont="1" applyFill="1" applyBorder="1" applyAlignment="1">
      <alignment horizontal="justify" vertical="center" wrapText="1"/>
    </xf>
    <xf numFmtId="166" fontId="11" fillId="0" borderId="0" xfId="2" applyNumberFormat="1" applyFont="1" applyFill="1" applyBorder="1" applyAlignment="1">
      <alignment horizontal="center" vertical="center" wrapText="1"/>
    </xf>
    <xf numFmtId="166" fontId="9" fillId="0" borderId="0" xfId="6" applyFont="1" applyFill="1" applyBorder="1" applyAlignment="1">
      <alignment horizontal="center" vertical="center" wrapText="1"/>
    </xf>
    <xf numFmtId="174" fontId="11" fillId="0" borderId="0" xfId="6" applyNumberFormat="1" applyFont="1" applyFill="1" applyBorder="1" applyAlignment="1">
      <alignment horizontal="center" vertical="center" wrapText="1"/>
    </xf>
    <xf numFmtId="174" fontId="11" fillId="0" borderId="0" xfId="6" applyNumberFormat="1" applyFont="1" applyBorder="1" applyAlignment="1">
      <alignment horizontal="center" vertical="center" wrapText="1"/>
    </xf>
    <xf numFmtId="166" fontId="9" fillId="0" borderId="0" xfId="6" applyFont="1" applyBorder="1" applyAlignment="1">
      <alignment horizontal="center" vertical="center" wrapText="1"/>
    </xf>
    <xf numFmtId="9" fontId="9" fillId="0" borderId="0" xfId="1" applyFont="1" applyBorder="1" applyAlignment="1">
      <alignment horizontal="center" vertical="center" wrapText="1"/>
    </xf>
    <xf numFmtId="9" fontId="9" fillId="0" borderId="0" xfId="4" applyFont="1" applyFill="1" applyBorder="1" applyAlignment="1">
      <alignment horizontal="center" vertical="center" wrapText="1"/>
    </xf>
    <xf numFmtId="0" fontId="11" fillId="0" borderId="0" xfId="3" applyFont="1" applyBorder="1" applyAlignment="1">
      <alignment vertical="center" wrapText="1"/>
    </xf>
    <xf numFmtId="164" fontId="11" fillId="0" borderId="11" xfId="3" applyNumberFormat="1" applyFont="1" applyBorder="1" applyAlignment="1">
      <alignment vertical="center" wrapText="1"/>
    </xf>
    <xf numFmtId="165" fontId="11" fillId="0" borderId="11" xfId="3" applyNumberFormat="1" applyFont="1" applyBorder="1" applyAlignment="1">
      <alignment vertical="center" wrapText="1"/>
    </xf>
    <xf numFmtId="164" fontId="11" fillId="0" borderId="1" xfId="3" applyNumberFormat="1" applyFont="1" applyBorder="1" applyAlignment="1">
      <alignment horizontal="center" vertical="center" wrapText="1"/>
    </xf>
    <xf numFmtId="165" fontId="11" fillId="0" borderId="11" xfId="3" applyNumberFormat="1" applyFont="1" applyBorder="1" applyAlignment="1">
      <alignment horizontal="center" vertical="center" wrapText="1"/>
    </xf>
    <xf numFmtId="166" fontId="11" fillId="0" borderId="11" xfId="3" applyNumberFormat="1" applyFont="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1" xfId="2" applyFont="1" applyFill="1" applyBorder="1" applyAlignment="1">
      <alignment horizontal="justify" vertical="center" wrapText="1"/>
    </xf>
    <xf numFmtId="164" fontId="11" fillId="0" borderId="1" xfId="2" applyFont="1" applyFill="1" applyBorder="1" applyAlignment="1">
      <alignment horizontal="left" vertical="center" wrapText="1"/>
    </xf>
    <xf numFmtId="0" fontId="11" fillId="0" borderId="1" xfId="3"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7" xfId="2" applyFont="1" applyFill="1" applyBorder="1" applyAlignment="1">
      <alignment horizontal="left" vertical="center" wrapText="1"/>
    </xf>
    <xf numFmtId="164" fontId="11" fillId="0" borderId="11" xfId="3" applyNumberFormat="1" applyFont="1" applyBorder="1" applyAlignment="1">
      <alignment horizontal="center" vertical="center" wrapText="1"/>
    </xf>
    <xf numFmtId="10" fontId="9" fillId="0" borderId="1" xfId="4" applyNumberFormat="1" applyFont="1" applyFill="1" applyBorder="1" applyAlignment="1">
      <alignment horizontal="center" vertical="center" wrapText="1"/>
    </xf>
    <xf numFmtId="9" fontId="9" fillId="0" borderId="1" xfId="4" applyNumberFormat="1" applyFont="1" applyFill="1" applyBorder="1" applyAlignment="1">
      <alignment horizontal="center" vertical="center" wrapText="1"/>
    </xf>
    <xf numFmtId="1" fontId="11" fillId="0" borderId="11" xfId="3" applyNumberFormat="1" applyFont="1" applyBorder="1" applyAlignment="1">
      <alignment horizontal="center" vertical="center" wrapText="1"/>
    </xf>
    <xf numFmtId="9" fontId="11" fillId="0" borderId="11" xfId="3" applyNumberFormat="1" applyFont="1" applyBorder="1" applyAlignment="1">
      <alignment horizontal="center" vertical="center" wrapText="1"/>
    </xf>
    <xf numFmtId="9" fontId="11" fillId="0" borderId="1" xfId="1" applyFont="1" applyBorder="1" applyAlignment="1">
      <alignment horizontal="center" vertical="center" wrapText="1"/>
    </xf>
    <xf numFmtId="171" fontId="11" fillId="0" borderId="11" xfId="3" applyNumberFormat="1" applyFont="1" applyBorder="1" applyAlignment="1">
      <alignment vertical="center" wrapText="1"/>
    </xf>
    <xf numFmtId="172" fontId="11" fillId="0" borderId="11" xfId="3" applyNumberFormat="1" applyFont="1" applyBorder="1" applyAlignment="1">
      <alignment horizontal="center" vertical="center" wrapText="1"/>
    </xf>
    <xf numFmtId="166" fontId="11" fillId="0" borderId="26" xfId="3" applyNumberFormat="1" applyFont="1" applyBorder="1" applyAlignment="1">
      <alignment horizontal="center" vertical="center" wrapText="1"/>
    </xf>
    <xf numFmtId="168" fontId="11" fillId="0" borderId="11" xfId="3" applyNumberFormat="1" applyFont="1" applyBorder="1" applyAlignment="1">
      <alignment horizontal="center" vertical="center" wrapText="1"/>
    </xf>
    <xf numFmtId="0" fontId="11" fillId="0" borderId="6" xfId="3" applyFont="1" applyFill="1" applyBorder="1" applyAlignment="1">
      <alignment vertical="center" wrapText="1"/>
    </xf>
    <xf numFmtId="3" fontId="11" fillId="0" borderId="11" xfId="3" applyNumberFormat="1" applyFont="1" applyBorder="1" applyAlignment="1">
      <alignment horizontal="center" vertical="center" wrapText="1"/>
    </xf>
    <xf numFmtId="173" fontId="21" fillId="0" borderId="6" xfId="1" applyNumberFormat="1" applyFont="1" applyFill="1" applyBorder="1" applyAlignment="1">
      <alignment horizontal="left" vertical="top" wrapText="1"/>
    </xf>
    <xf numFmtId="0" fontId="9" fillId="0" borderId="11" xfId="3" applyFont="1" applyBorder="1" applyAlignment="1">
      <alignment horizontal="center" vertical="center" wrapText="1"/>
    </xf>
    <xf numFmtId="9" fontId="9" fillId="0" borderId="11" xfId="3" applyNumberFormat="1" applyFont="1" applyBorder="1" applyAlignment="1">
      <alignment horizontal="center" vertical="center" wrapText="1"/>
    </xf>
    <xf numFmtId="166" fontId="9" fillId="0" borderId="11" xfId="3" applyNumberFormat="1" applyFont="1" applyBorder="1" applyAlignment="1">
      <alignment horizontal="center" vertical="center" wrapText="1"/>
    </xf>
    <xf numFmtId="9" fontId="9" fillId="0" borderId="11" xfId="1" applyFont="1" applyBorder="1" applyAlignment="1">
      <alignment horizontal="center" vertical="center" wrapText="1"/>
    </xf>
    <xf numFmtId="9" fontId="9" fillId="0" borderId="11" xfId="3" applyNumberFormat="1" applyFont="1" applyBorder="1" applyAlignment="1">
      <alignment vertical="center" wrapText="1"/>
    </xf>
    <xf numFmtId="0" fontId="9" fillId="0" borderId="1" xfId="3" applyFont="1" applyBorder="1" applyAlignment="1">
      <alignment horizontal="center" vertical="center" wrapText="1"/>
    </xf>
    <xf numFmtId="9" fontId="9" fillId="0" borderId="1" xfId="3" applyNumberFormat="1" applyFont="1" applyBorder="1" applyAlignment="1">
      <alignment horizontal="center" vertical="center" wrapText="1"/>
    </xf>
    <xf numFmtId="166" fontId="9" fillId="0" borderId="1" xfId="3" applyNumberFormat="1" applyFont="1" applyBorder="1" applyAlignment="1">
      <alignment horizontal="center" vertical="center" wrapText="1"/>
    </xf>
    <xf numFmtId="166" fontId="9" fillId="0" borderId="7" xfId="3" applyNumberFormat="1" applyFont="1" applyBorder="1" applyAlignment="1">
      <alignment horizontal="center" vertical="center" wrapText="1"/>
    </xf>
    <xf numFmtId="173" fontId="11" fillId="0" borderId="1" xfId="4" applyNumberFormat="1" applyFont="1" applyFill="1" applyBorder="1" applyAlignment="1">
      <alignment horizontal="center" vertical="center" wrapText="1"/>
    </xf>
    <xf numFmtId="1" fontId="11" fillId="0" borderId="1" xfId="3" applyNumberFormat="1" applyFont="1" applyFill="1" applyBorder="1" applyAlignment="1">
      <alignment horizontal="center" vertical="center" wrapText="1"/>
    </xf>
    <xf numFmtId="166" fontId="11" fillId="0" borderId="7" xfId="6" applyFont="1" applyFill="1" applyBorder="1" applyAlignment="1">
      <alignment horizontal="center" vertical="center" wrapText="1"/>
    </xf>
    <xf numFmtId="9" fontId="11" fillId="0" borderId="7" xfId="1" applyFont="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1" xfId="2" applyFont="1" applyFill="1" applyBorder="1" applyAlignment="1">
      <alignment horizontal="justify" vertical="center" wrapText="1"/>
    </xf>
    <xf numFmtId="164" fontId="11" fillId="0" borderId="1" xfId="2" applyFont="1" applyFill="1" applyBorder="1" applyAlignment="1">
      <alignment horizontal="left" vertical="center" wrapText="1"/>
    </xf>
    <xf numFmtId="164" fontId="18" fillId="0" borderId="18" xfId="2" applyFont="1" applyBorder="1" applyAlignment="1">
      <alignment horizontal="center" vertical="center" wrapText="1"/>
    </xf>
    <xf numFmtId="164" fontId="18" fillId="0" borderId="19" xfId="2" applyFont="1" applyBorder="1" applyAlignment="1">
      <alignment horizontal="center" vertical="center" wrapText="1"/>
    </xf>
    <xf numFmtId="164" fontId="18" fillId="0" borderId="0" xfId="2" applyFont="1" applyBorder="1" applyAlignment="1">
      <alignment horizontal="center" vertical="center" wrapText="1"/>
    </xf>
    <xf numFmtId="164" fontId="18" fillId="0" borderId="20" xfId="2" applyFont="1" applyBorder="1" applyAlignment="1">
      <alignment horizontal="center" vertical="center" wrapText="1"/>
    </xf>
    <xf numFmtId="164" fontId="18" fillId="0" borderId="21" xfId="2" applyFont="1" applyBorder="1" applyAlignment="1">
      <alignment horizontal="center" vertical="center" wrapText="1"/>
    </xf>
    <xf numFmtId="164" fontId="18" fillId="0" borderId="22" xfId="2" applyFont="1" applyBorder="1" applyAlignment="1">
      <alignment horizontal="center" vertical="center" wrapText="1"/>
    </xf>
    <xf numFmtId="0" fontId="6" fillId="0" borderId="25" xfId="3" applyBorder="1" applyAlignment="1">
      <alignment horizontal="center"/>
    </xf>
    <xf numFmtId="0" fontId="6" fillId="0" borderId="18" xfId="3" applyBorder="1" applyAlignment="1">
      <alignment horizontal="center"/>
    </xf>
    <xf numFmtId="0" fontId="6" fillId="0" borderId="19" xfId="3" applyBorder="1" applyAlignment="1">
      <alignment horizontal="center"/>
    </xf>
    <xf numFmtId="0" fontId="6" fillId="0" borderId="23" xfId="3" applyBorder="1" applyAlignment="1">
      <alignment horizontal="center"/>
    </xf>
    <xf numFmtId="0" fontId="6" fillId="0" borderId="0" xfId="3" applyBorder="1" applyAlignment="1">
      <alignment horizontal="center"/>
    </xf>
    <xf numFmtId="0" fontId="6" fillId="0" borderId="20" xfId="3" applyBorder="1" applyAlignment="1">
      <alignment horizontal="center"/>
    </xf>
    <xf numFmtId="0" fontId="6" fillId="0" borderId="24" xfId="3" applyBorder="1" applyAlignment="1">
      <alignment horizontal="center"/>
    </xf>
    <xf numFmtId="0" fontId="6" fillId="0" borderId="21" xfId="3" applyBorder="1" applyAlignment="1">
      <alignment horizontal="center"/>
    </xf>
    <xf numFmtId="0" fontId="6" fillId="0" borderId="22" xfId="3" applyBorder="1" applyAlignment="1">
      <alignment horizontal="center"/>
    </xf>
    <xf numFmtId="164" fontId="11" fillId="0" borderId="5" xfId="2" applyFont="1" applyFill="1" applyBorder="1" applyAlignment="1">
      <alignment horizontal="center" vertical="center" wrapText="1"/>
    </xf>
    <xf numFmtId="164" fontId="11" fillId="0" borderId="2" xfId="2" applyFont="1" applyFill="1" applyBorder="1" applyAlignment="1">
      <alignment horizontal="center"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justify" vertical="center" wrapText="1"/>
    </xf>
    <xf numFmtId="0" fontId="11" fillId="0" borderId="1" xfId="3" applyFont="1" applyFill="1" applyBorder="1" applyAlignment="1">
      <alignment horizontal="center" vertical="center" wrapText="1"/>
    </xf>
    <xf numFmtId="14" fontId="0" fillId="0" borderId="0" xfId="2" applyNumberFormat="1" applyFont="1" applyAlignment="1">
      <alignment horizontal="center" vertical="center"/>
    </xf>
    <xf numFmtId="0" fontId="0" fillId="0" borderId="0" xfId="2" applyNumberFormat="1" applyFont="1" applyAlignment="1">
      <alignment horizontal="center" vertical="center"/>
    </xf>
    <xf numFmtId="0" fontId="12" fillId="0" borderId="10" xfId="3" applyFont="1" applyBorder="1" applyAlignment="1">
      <alignment horizontal="center" vertical="center"/>
    </xf>
    <xf numFmtId="164" fontId="11" fillId="0" borderId="12"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7" xfId="2" applyFont="1" applyFill="1" applyBorder="1" applyAlignment="1">
      <alignment horizontal="left" vertical="center" wrapText="1"/>
    </xf>
    <xf numFmtId="164" fontId="9" fillId="0" borderId="5" xfId="2" applyFont="1" applyFill="1" applyBorder="1" applyAlignment="1">
      <alignment horizontal="center" vertical="center" wrapText="1"/>
    </xf>
    <xf numFmtId="164" fontId="9" fillId="0" borderId="1" xfId="2" applyFont="1" applyFill="1" applyBorder="1" applyAlignment="1">
      <alignment horizontal="center" vertical="center" wrapText="1"/>
    </xf>
    <xf numFmtId="164" fontId="18" fillId="0" borderId="23" xfId="2" applyFont="1" applyBorder="1" applyAlignment="1">
      <alignment horizontal="center" vertical="center" wrapText="1"/>
    </xf>
    <xf numFmtId="171" fontId="11" fillId="0" borderId="11" xfId="3" applyNumberFormat="1" applyFont="1" applyBorder="1" applyAlignment="1">
      <alignment horizontal="center" vertical="center" wrapText="1"/>
    </xf>
    <xf numFmtId="164" fontId="22" fillId="0" borderId="0" xfId="2" applyFont="1" applyBorder="1" applyAlignment="1">
      <alignment horizontal="center" vertical="center"/>
    </xf>
    <xf numFmtId="164" fontId="22" fillId="0" borderId="0" xfId="2" applyFont="1" applyBorder="1" applyAlignment="1">
      <alignment horizontal="justify" vertical="center"/>
    </xf>
    <xf numFmtId="9" fontId="22" fillId="0" borderId="0" xfId="1" applyFont="1" applyBorder="1" applyAlignment="1">
      <alignment horizontal="center" vertical="center"/>
    </xf>
  </cellXfs>
  <cellStyles count="127">
    <cellStyle name="Excel Built-in Comma" xfId="7" xr:uid="{B755FFEB-A20F-42CF-AE69-BDF50CA150E1}"/>
    <cellStyle name="Excel Built-in Currency" xfId="9" xr:uid="{B0A7095A-EF1C-4F39-B450-1C7F8E266C1B}"/>
    <cellStyle name="Excel Built-in Currency [0]" xfId="10" xr:uid="{28F3C2BC-8229-4FD1-9FEC-9D17D686E90B}"/>
    <cellStyle name="Excel Built-in Normal" xfId="2" xr:uid="{D9BAF44B-BF3F-46AF-8ADB-CB3A536F84A9}"/>
    <cellStyle name="Excel Built-in Percent" xfId="6" xr:uid="{B6F42A19-BA87-4B0A-84C2-ECF6A48748D2}"/>
    <cellStyle name="Heading" xfId="11" xr:uid="{A56AEAA2-BBBE-46A2-BCD3-C3C7FB4692D5}"/>
    <cellStyle name="Heading1" xfId="12" xr:uid="{857D019D-FCB1-4DA5-B2FF-849BB3DEC526}"/>
    <cellStyle name="Millares" xfId="126" builtinId="3"/>
    <cellStyle name="Millares [0] 2" xfId="13" xr:uid="{68EA49CE-681B-437F-B972-FA3FE905EC15}"/>
    <cellStyle name="Millares 10" xfId="14" xr:uid="{153FD451-01C9-425E-8CA7-36F683045794}"/>
    <cellStyle name="Millares 11" xfId="15" xr:uid="{0CEA0F22-F98B-4D2B-B19E-1EC7B2831756}"/>
    <cellStyle name="Millares 12" xfId="16" xr:uid="{D35237AD-E379-4B66-B81C-0AEB33188F1B}"/>
    <cellStyle name="Millares 13" xfId="17" xr:uid="{C21EAA9E-C85E-472E-8D8C-F9A9AA471E3E}"/>
    <cellStyle name="Millares 2" xfId="5" xr:uid="{3684DC21-7C76-4B20-8311-86A2DCA3B42B}"/>
    <cellStyle name="Millares 2 2" xfId="19" xr:uid="{E407F554-C3A8-4177-AB13-E413230A0090}"/>
    <cellStyle name="Millares 2 2 2" xfId="20" xr:uid="{233B947B-6941-49AB-ACEE-D01C5ED02BD4}"/>
    <cellStyle name="Millares 2 2 2 2" xfId="21" xr:uid="{29702AB5-71EC-4B18-9599-EB9C8FB7581F}"/>
    <cellStyle name="Millares 2 2 3" xfId="22" xr:uid="{868B6409-7B8A-46C6-81AF-69E1D8863F87}"/>
    <cellStyle name="Millares 2 3" xfId="23" xr:uid="{E0909D0A-EE32-480B-99F3-525E8042C7C9}"/>
    <cellStyle name="Millares 2 3 2" xfId="24" xr:uid="{D60E4930-A64B-412F-88D7-B41454642CE5}"/>
    <cellStyle name="Millares 2 3 2 2" xfId="25" xr:uid="{2F9EB2C8-BEEA-40C0-B96E-07CAD2477223}"/>
    <cellStyle name="Millares 2 3 3" xfId="26" xr:uid="{BB408B62-9603-4B03-B84C-D1155C8F4966}"/>
    <cellStyle name="Millares 2 4" xfId="27" xr:uid="{2FC95B20-E1D2-43B1-B8A8-C759AA6ECD1C}"/>
    <cellStyle name="Millares 2 4 2" xfId="28" xr:uid="{97B8096A-CAFA-4440-A4AE-F2AEC05A43CB}"/>
    <cellStyle name="Millares 2 5" xfId="29" xr:uid="{4C272693-FCBE-450F-A0B4-0BE6CDBABCBC}"/>
    <cellStyle name="Millares 2 6" xfId="18" xr:uid="{833652C9-17C3-440F-9140-E4839A9628CB}"/>
    <cellStyle name="Millares 3" xfId="30" xr:uid="{D4471D59-0D7B-40D2-AE2A-19108D1AA938}"/>
    <cellStyle name="Millares 3 2" xfId="31" xr:uid="{600BA57C-4FE6-4DEC-A840-562170469080}"/>
    <cellStyle name="Millares 3 2 2" xfId="32" xr:uid="{9C91BE31-063C-49DF-AF2F-66A8B45C43A1}"/>
    <cellStyle name="Millares 3 2 2 2" xfId="33" xr:uid="{DF02EB95-BE8B-441F-BCE1-3B469A945691}"/>
    <cellStyle name="Millares 3 2 2 2 2" xfId="34" xr:uid="{B2CFF150-F012-41CE-83B1-4CFF251F44B0}"/>
    <cellStyle name="Millares 3 2 2 2 2 2" xfId="35" xr:uid="{805E1D9F-C19F-49AD-BBAB-F10C1513414C}"/>
    <cellStyle name="Millares 3 2 2 2 3" xfId="36" xr:uid="{881F1689-0981-47E2-90FC-7773BE7B4612}"/>
    <cellStyle name="Millares 3 2 2 3" xfId="37" xr:uid="{DC6D9ED7-3155-4041-8730-EC024AD9B137}"/>
    <cellStyle name="Millares 3 2 2 3 2" xfId="38" xr:uid="{05CACD1A-64DB-4B50-BC69-4C86BC95524E}"/>
    <cellStyle name="Millares 3 2 2 4" xfId="39" xr:uid="{1F55C371-B536-48E0-914E-42EB6CAFC9F5}"/>
    <cellStyle name="Millares 3 2 3" xfId="40" xr:uid="{1B666409-50E4-4D82-92FA-84D5A37A942E}"/>
    <cellStyle name="Millares 3 2 3 2" xfId="41" xr:uid="{70D41669-19F5-4F2A-837F-050AE71833F9}"/>
    <cellStyle name="Millares 3 2 3 2 2" xfId="42" xr:uid="{B07FB9A0-EAF6-41CE-9637-21264AAD76EA}"/>
    <cellStyle name="Millares 3 2 3 3" xfId="43" xr:uid="{59C3FD68-0BA7-41D3-BBDB-69C179B6F73C}"/>
    <cellStyle name="Millares 3 2 4" xfId="44" xr:uid="{81C32E07-C8C2-49D0-A22A-C574302926EB}"/>
    <cellStyle name="Millares 3 2 4 2" xfId="45" xr:uid="{2FB2F809-614E-4A37-9ABB-2DF9612FA7FD}"/>
    <cellStyle name="Millares 3 2 5" xfId="46" xr:uid="{0554ACD4-87C3-4CEF-B3CF-707EB7EC6287}"/>
    <cellStyle name="Millares 3 3" xfId="47" xr:uid="{68A14F31-FA0B-4E98-BB50-BAB9B13EB91A}"/>
    <cellStyle name="Millares 3 3 2" xfId="48" xr:uid="{639F9C06-AF80-47AD-9669-296AF9975C03}"/>
    <cellStyle name="Millares 3 3 2 2" xfId="49" xr:uid="{9ED301CD-EBCE-4ADE-85EC-597E76A62D60}"/>
    <cellStyle name="Millares 3 3 2 2 2" xfId="50" xr:uid="{9D95B507-64B9-4BA4-B127-E721ED418B9E}"/>
    <cellStyle name="Millares 3 3 2 3" xfId="51" xr:uid="{023838E7-9D12-459D-82FE-C48EBD62A4AF}"/>
    <cellStyle name="Millares 3 3 3" xfId="52" xr:uid="{E4F87A7C-F10D-4EFD-A3DC-47CE435EBEBE}"/>
    <cellStyle name="Millares 3 3 3 2" xfId="53" xr:uid="{3AEABAF5-E4A9-444E-9BBB-D66DC672191F}"/>
    <cellStyle name="Millares 3 3 4" xfId="54" xr:uid="{263AC9E2-C130-425E-B156-8C3503DBF112}"/>
    <cellStyle name="Millares 3 4" xfId="55" xr:uid="{8FDEC89A-A2F6-46D3-A93E-ED4D24E80ECC}"/>
    <cellStyle name="Millares 3 4 2" xfId="56" xr:uid="{717666BD-DB76-4DA6-83D7-9ED99A0E6E78}"/>
    <cellStyle name="Millares 3 4 2 2" xfId="57" xr:uid="{CDE693E1-FE66-477A-BA11-3B24E4D1FFB8}"/>
    <cellStyle name="Millares 3 4 3" xfId="58" xr:uid="{0141E060-F3EB-445F-B846-7FE12C022A11}"/>
    <cellStyle name="Millares 3 5" xfId="59" xr:uid="{1C924390-59B6-48A4-9072-DA1B46FE21B2}"/>
    <cellStyle name="Millares 3 5 2" xfId="60" xr:uid="{C0C15B76-3BE6-4C3C-AB91-E168D6B729C9}"/>
    <cellStyle name="Millares 3 5 2 2" xfId="61" xr:uid="{7A7D58C2-9080-45BB-9EBC-FBC29BE3F5CB}"/>
    <cellStyle name="Millares 3 5 3" xfId="62" xr:uid="{0BBB7B3A-8D34-4B04-9269-F9CE19EE78CF}"/>
    <cellStyle name="Millares 3 6" xfId="63" xr:uid="{25170D4A-F12C-4AE0-8209-D743374487EC}"/>
    <cellStyle name="Millares 3 6 2" xfId="64" xr:uid="{AA475774-82FD-420B-BBFF-B241084FFB0F}"/>
    <cellStyle name="Millares 3 7" xfId="65" xr:uid="{83F7C052-5870-4E05-83D7-CBD6DEC20A2F}"/>
    <cellStyle name="Millares 4" xfId="66" xr:uid="{F1631DBD-1933-46E7-A215-0A5798278FA1}"/>
    <cellStyle name="Millares 5" xfId="67" xr:uid="{F071C4CD-3CE0-4292-985C-C904FA0B5216}"/>
    <cellStyle name="Millares 6" xfId="68" xr:uid="{85DC6213-39CC-4A55-AA6A-0C864AD66C6B}"/>
    <cellStyle name="Millares 7" xfId="69" xr:uid="{B9B84405-C17E-455D-AA0F-9EEDD4F1B371}"/>
    <cellStyle name="Millares 8" xfId="70" xr:uid="{83E40523-9F2B-40C7-86FF-80BE09C4BA03}"/>
    <cellStyle name="Millares 9" xfId="71" xr:uid="{CACA0E35-C5E7-49E1-B002-497CD5E616BD}"/>
    <cellStyle name="Moneda [0] 2" xfId="72" xr:uid="{AB37492E-646F-42C3-BE29-AA74E909458D}"/>
    <cellStyle name="Moneda [0] 2 2" xfId="73" xr:uid="{8C58A92F-FE4E-4C10-A42C-A9D267C9EE28}"/>
    <cellStyle name="Moneda [0] 2 2 2" xfId="74" xr:uid="{7B259F3D-A69B-413F-AB60-8F40E312BAE9}"/>
    <cellStyle name="Moneda [0] 2 2 2 2" xfId="75" xr:uid="{EE9FDB32-38AE-4A1A-A251-6A54CDAF1A1E}"/>
    <cellStyle name="Moneda [0] 2 2 2 2 2" xfId="76" xr:uid="{4D99339C-316C-47CB-B0E3-0DA29F4C7FC4}"/>
    <cellStyle name="Moneda [0] 2 2 2 3" xfId="77" xr:uid="{4CF69D9A-3736-4D86-8D0D-F17895DC996A}"/>
    <cellStyle name="Moneda [0] 2 2 3" xfId="78" xr:uid="{3D7A5127-C963-425E-A5AA-38147B8393FA}"/>
    <cellStyle name="Moneda [0] 2 2 3 2" xfId="79" xr:uid="{B2CCDE93-85D4-44D8-9ED2-EBE5349208EC}"/>
    <cellStyle name="Moneda [0] 2 2 4" xfId="80" xr:uid="{E442DD7E-BC70-4EA1-8454-A51498268377}"/>
    <cellStyle name="Moneda [0] 2 3" xfId="81" xr:uid="{EBA2E282-6A0E-4380-8DD0-C081048EECE4}"/>
    <cellStyle name="Moneda [0] 2 3 2" xfId="82" xr:uid="{C36C0F54-2AB0-4299-81B7-39FBFE580110}"/>
    <cellStyle name="Moneda [0] 2 3 2 2" xfId="83" xr:uid="{7F209AA3-14A2-42B5-81C6-A4CA3F5BC4E1}"/>
    <cellStyle name="Moneda [0] 2 3 3" xfId="84" xr:uid="{7BA3909E-1017-4280-885A-CDD392B9456B}"/>
    <cellStyle name="Moneda [0] 2 4" xfId="85" xr:uid="{462F9F5C-6710-40D0-BFDA-BEFE89CD38EF}"/>
    <cellStyle name="Moneda [0] 2 4 2" xfId="86" xr:uid="{A3E7976A-7CAE-432B-9A36-DD14C423AB8E}"/>
    <cellStyle name="Moneda [0] 2 5" xfId="87" xr:uid="{CAE30CBF-C98B-4066-B12A-C84E0FA19427}"/>
    <cellStyle name="Moneda [0] 3" xfId="88" xr:uid="{1B8D7FB6-7459-43B5-91C2-F2FED6FED845}"/>
    <cellStyle name="Moneda [0] 3 2" xfId="89" xr:uid="{39473732-BDC5-46E5-8D79-7A843C8E6DF2}"/>
    <cellStyle name="Moneda [0] 3 2 2" xfId="90" xr:uid="{AA331279-2617-433B-8CBE-3A164BBC84EB}"/>
    <cellStyle name="Moneda [0] 3 2 2 2" xfId="91" xr:uid="{B0D67519-C088-4EAA-B29C-1A087315DEC0}"/>
    <cellStyle name="Moneda [0] 3 2 3" xfId="92" xr:uid="{AD0AF906-8F97-443F-A502-60E5DD7CC460}"/>
    <cellStyle name="Moneda [0] 3 3" xfId="93" xr:uid="{49628625-CF29-4EFF-9AAA-7B6A8177BD79}"/>
    <cellStyle name="Moneda [0] 3 3 2" xfId="94" xr:uid="{AD0332E3-F9B1-49D9-9827-52E4098185DB}"/>
    <cellStyle name="Moneda [0] 3 4" xfId="95" xr:uid="{00F3868F-2F12-43E0-B446-4C061DA218D2}"/>
    <cellStyle name="Moneda [0] 4" xfId="96" xr:uid="{B5512997-DE00-448B-8985-D52564072882}"/>
    <cellStyle name="Moneda [0] 4 2" xfId="97" xr:uid="{CBA8C5A4-73F6-4D4A-A184-F97D4E87370D}"/>
    <cellStyle name="Moneda [0] 4 2 2" xfId="98" xr:uid="{50DF49E2-2FA5-4402-9716-51CE6F7E9D10}"/>
    <cellStyle name="Moneda [0] 4 3" xfId="99" xr:uid="{543EEFFF-35F5-4DAC-916F-C005040B8898}"/>
    <cellStyle name="Moneda [0] 5" xfId="100" xr:uid="{AEAEAA02-DE54-4C11-8E13-2B6736F22544}"/>
    <cellStyle name="Moneda [0] 5 2" xfId="101" xr:uid="{C5B4CEDA-F6E3-48A8-B0CE-7AAF01900E9D}"/>
    <cellStyle name="Moneda [0] 5 2 2" xfId="102" xr:uid="{5F988392-0695-4C76-97AB-78E297296D09}"/>
    <cellStyle name="Moneda [0] 5 3" xfId="103" xr:uid="{ADC3C1BE-F101-4688-B8A5-2C8C29E079B6}"/>
    <cellStyle name="Moneda 2" xfId="104" xr:uid="{194D2C1B-873B-4B92-A088-1B5E00313193}"/>
    <cellStyle name="Moneda 2 2" xfId="105" xr:uid="{7B3A2F0A-90ED-4265-9387-7C8663847BD2}"/>
    <cellStyle name="Moneda 2 2 2" xfId="106" xr:uid="{1AF22B1C-F63D-4457-95D2-A8EE8FFE9569}"/>
    <cellStyle name="Moneda 2 2 2 2" xfId="107" xr:uid="{16380515-EC8C-4559-A659-511FB6F622D1}"/>
    <cellStyle name="Moneda 2 2 3" xfId="108" xr:uid="{BB10B9FC-3A91-46E2-B896-E1F477FC625C}"/>
    <cellStyle name="Moneda 2 3" xfId="109" xr:uid="{36E47EFB-FD0D-481E-AFD7-D4CCB91FE3AA}"/>
    <cellStyle name="Moneda 2 3 2" xfId="110" xr:uid="{4A754624-9DA1-4CF8-8EBC-1F76D81C4680}"/>
    <cellStyle name="Moneda 2 4" xfId="111" xr:uid="{794200C7-B35E-4A30-8595-D24650CBBE60}"/>
    <cellStyle name="Moneda 3" xfId="112" xr:uid="{9499B836-5A1D-4C96-9423-5CDF9764FE9C}"/>
    <cellStyle name="Moneda 3 2" xfId="113" xr:uid="{11925E5C-2AC9-46F0-9731-C813ECEADD5E}"/>
    <cellStyle name="Moneda 3 2 2" xfId="114" xr:uid="{5E2A6C78-C038-47F0-8927-9F80724E0439}"/>
    <cellStyle name="Moneda 3 2 2 2" xfId="115" xr:uid="{9B7091B3-D000-480E-BB64-5466EFC82A15}"/>
    <cellStyle name="Moneda 3 2 3" xfId="116" xr:uid="{8B1560B2-0978-403F-86E2-EA00F3D7B486}"/>
    <cellStyle name="Moneda 3 3" xfId="117" xr:uid="{5922F756-BFA6-4326-8F2C-572C71FA75DD}"/>
    <cellStyle name="Moneda 3 3 2" xfId="118" xr:uid="{D75D9281-774D-44E8-862B-6D0E24497E80}"/>
    <cellStyle name="Moneda 3 4" xfId="119" xr:uid="{8C2ADBDD-FDAC-4D78-9679-74B165635CCC}"/>
    <cellStyle name="Moneda 4" xfId="8" xr:uid="{5C7E82CD-D581-494A-8BCF-344E5C2E2B74}"/>
    <cellStyle name="Normal" xfId="0" builtinId="0"/>
    <cellStyle name="Normal 2" xfId="3" xr:uid="{A7D50C10-32A6-4FFD-BFA1-1C59AF92982C}"/>
    <cellStyle name="Normal 2 2" xfId="120" xr:uid="{705904CA-1291-4576-9A1E-1F92D083F102}"/>
    <cellStyle name="Normal 3" xfId="124" xr:uid="{BE2DFDF0-A06E-4823-8044-ED3073FB506E}"/>
    <cellStyle name="Normal 4" xfId="125" xr:uid="{C15A6A7E-6216-4E08-B84C-B1C54556B1E6}"/>
    <cellStyle name="Porcentaje" xfId="1" builtinId="5"/>
    <cellStyle name="Porcentaje 2" xfId="4" xr:uid="{6123D0E6-9201-41D6-9939-B0699B7B4B08}"/>
    <cellStyle name="Porcentaje 2 2" xfId="121" xr:uid="{586522DF-D4D3-44B3-AC0A-DCA9BEAD8AAE}"/>
    <cellStyle name="Result" xfId="122" xr:uid="{4A923363-446A-4EF4-99F8-CB87242738C5}"/>
    <cellStyle name="Result2" xfId="123" xr:uid="{D0820611-3315-424D-9B62-5E8F29975D5D}"/>
  </cellStyles>
  <dxfs count="47">
    <dxf>
      <font>
        <b/>
        <i val="0"/>
        <color rgb="FFFF000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 formatCode="#,##0"/>
    </dxf>
    <dxf>
      <numFmt numFmtId="3" formatCode="#,##0"/>
    </dxf>
    <dxf>
      <numFmt numFmtId="14" formatCode="0.0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27" formatCode="d/mm/yyyy\ h:mm"/>
    </dxf>
    <dxf>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275394</xdr:colOff>
      <xdr:row>0</xdr:row>
      <xdr:rowOff>128426</xdr:rowOff>
    </xdr:from>
    <xdr:to>
      <xdr:col>7</xdr:col>
      <xdr:colOff>1944015</xdr:colOff>
      <xdr:row>2</xdr:row>
      <xdr:rowOff>270923</xdr:rowOff>
    </xdr:to>
    <xdr:pic>
      <xdr:nvPicPr>
        <xdr:cNvPr id="2" name="Imagen 1">
          <a:extLst>
            <a:ext uri="{FF2B5EF4-FFF2-40B4-BE49-F238E27FC236}">
              <a16:creationId xmlns:a16="http://schemas.microsoft.com/office/drawing/2014/main" id="{FC2083C3-6BC7-45BC-8E4A-E7E19DF7B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1925" y="128426"/>
          <a:ext cx="4954746" cy="975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301880</xdr:rowOff>
    </xdr:to>
    <xdr:pic>
      <xdr:nvPicPr>
        <xdr:cNvPr id="2" name="Imagen 1">
          <a:extLst>
            <a:ext uri="{FF2B5EF4-FFF2-40B4-BE49-F238E27FC236}">
              <a16:creationId xmlns:a16="http://schemas.microsoft.com/office/drawing/2014/main" id="{6B820C68-2DE6-4E7B-98A7-3F30121B5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M" refreshedDate="43861.755544907406" missingItemsLimit="0" createdVersion="6" refreshedVersion="6" minRefreshableVersion="3" recordCount="76" xr:uid="{BD5B0EE0-E637-4C11-9B89-7DD9A14FC756}">
  <cacheSource type="worksheet">
    <worksheetSource name="Tabla_kronos_MCSIG_PEI"/>
  </cacheSource>
  <cacheFields count="14">
    <cacheField name="DEP_NOMBRE" numFmtId="0">
      <sharedItems count="25">
        <s v="Despacho de la Dirección de Patrimonio y Memoria"/>
        <s v="Despacho de la Dirección de Artes"/>
        <s v="Despacho de la Dirección de Poblaciones_x000d__x000a_"/>
        <s v="Despacho del Viceministro de la Creatividad y la Economía Naranja"/>
        <s v="Oficina Asesora Jurídica"/>
        <s v="Despacho del Ministro"/>
        <s v="Despacho de la Dirección de Fomento Regional"/>
        <s v="Grupo de Emprendimiento Cultural_x000d__x000a_"/>
        <s v="Despacho de la Dirección de Cinematografía"/>
        <s v="Despacho de la Dirección de Comunicaciones"/>
        <s v="Sinfónica"/>
        <s v="Grupo del Teatro Colón "/>
        <s v="Biblioteca Nacional de Colombia_x000d__x000a_"/>
        <s v="Grupo de Politicas Culturales y Asuntos Internacionales"/>
        <s v="Grupo de Infraestructura Cultural_x000d__x000a_"/>
        <s v="Museo Nacional de Colombia_x000d__x000a_"/>
        <s v="Grupo Programa Nacional de Concertación_x000d__x000a_"/>
        <s v="Grupo Programa Nacional de Estímulos_x000d__x000a_"/>
        <s v="Oficina Asesora de Planeación"/>
        <s v="Oficina de Control Interno"/>
        <s v="Grupo de  Gestión de Sistemas  e Informática _x000d__x000a_"/>
        <s v="Grupo de Gestión Documental_x000d__x000a_"/>
        <s v="Grupo de Gestión Humana_x000d__x000a_"/>
        <s v="Grupo de Gestión Financiera y Contable_x000d__x000a_"/>
        <s v="Secretaría General "/>
      </sharedItems>
    </cacheField>
    <cacheField name="OBJ_ID" numFmtId="0">
      <sharedItems containsSemiMixedTypes="0" containsString="0" containsNumber="1" containsInteger="1" minValue="1" maxValue="8" count="8">
        <n v="1"/>
        <n v="2"/>
        <n v="3"/>
        <n v="4"/>
        <n v="5"/>
        <n v="6"/>
        <n v="7"/>
        <n v="8"/>
      </sharedItems>
    </cacheField>
    <cacheField name="OBJ_DESCRIPCION" numFmtId="0">
      <sharedItems count="8" longText="1">
        <s v="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s v="Liderar la articulación entre los diferentes niveles de gobierno, los agentes del sector cultura y el sector privado para propiciar el acceso a la cultura, la innovación y el emprendimiento cultural desde nuestros territorios"/>
        <s v="Ampliar la oferta institucional que contribuya al cierre de brechas sociales, impulsando las manifestaciones artísticas y culturales, los talentos creativos, la innovación y el desarrollo de nuevos emprendimientos."/>
        <s v="Establecer alianzas estratégicas para la consecución de recursos que apoyen el desarrollo de procesos culturales."/>
        <s v="Generar y consolidar espacios que faciliten entornos apropiados para el desarrollo de los procesos y proyectos artísticos y culturales"/>
        <s v="Implementar acciones de protección, reconocimiento y salvaguarda del patrimonio cultural Colombiano para preservar e impulsar nuestra identidad nacional, desde los territorios"/>
        <s v="Impulsar procesos creativos culturales que generen valor social agregado y fortalezcan la identidad y memoria cultural, desde los territorios"/>
        <s v="Fortalecer la capacidad de gestión y desempeño institucional y la mejora continua de los procesos, basada en  la gestión de los riesgos,  el manejo de la  información y la evaluación para la toma de decisiones."/>
      </sharedItems>
    </cacheField>
    <cacheField name="EST_ID" numFmtId="0">
      <sharedItems containsSemiMixedTypes="0" containsString="0" containsNumber="1" containsInteger="1" minValue="31" maxValue="77" count="33">
        <n v="32"/>
        <n v="31"/>
        <n v="33"/>
        <n v="48"/>
        <n v="47"/>
        <n v="51"/>
        <n v="49"/>
        <n v="50"/>
        <n v="53"/>
        <n v="55"/>
        <n v="54"/>
        <n v="52"/>
        <n v="56"/>
        <n v="57"/>
        <n v="60"/>
        <n v="58"/>
        <n v="62"/>
        <n v="64"/>
        <n v="67"/>
        <n v="61"/>
        <n v="63"/>
        <n v="68"/>
        <n v="65"/>
        <n v="66"/>
        <n v="71"/>
        <n v="70"/>
        <n v="72"/>
        <n v="75"/>
        <n v="77"/>
        <n v="76"/>
        <n v="73"/>
        <n v="74"/>
        <n v="69"/>
      </sharedItems>
    </cacheField>
    <cacheField name="EST_DESCRIPCION" numFmtId="0">
      <sharedItems count="33">
        <s v="Formulación e implementación de Políticas Públicas del ámbito cultural con enfoque poblacional y territorial "/>
        <s v="Formulación, desarrollo y actualización del marco normativo del sector cultura"/>
        <s v="Levantamiento y acceso de información del sector cultura"/>
        <s v="Coordinación y seguimiento a las intervenciones en los territorios a partir de las necesidades priorizadas por estos en el marco de las diferentes interacciones en las regiones "/>
        <s v="Fortalecimiento de la gestión cultural en los territorios"/>
        <s v="Fortalecimiento de los procesos de reparación colectiva de las comunidades con enfoque diferencial"/>
        <s v="Fortalecimiento del emprendimiento cultural en los territorios "/>
        <s v="Promoción de un entorno institucional para el desarrollo y la consolidación de la ciudadanía creativa y la economía naranja_x000d__x000a__x000d__x000a_"/>
        <s v="Formación para las artes, la cultura y la economía creativa"/>
        <s v="Impulso de la difusión y el conocimiento de las expresiones artísticas y culturales"/>
        <s v="Impulso del consumo nacional de bienes y servicios artísticos y culturales"/>
        <s v="Promoción de hábitos de lectura en la población Colombiana con enfasis en la primera infancia, infancia, adolescencia y familias"/>
        <s v="Diseño y puesta en marcha modelos de financiación para la cultura._x000d__x000a_"/>
        <s v="Promoción de la gestión de recursos para el desarrollo de los procesos artísticos culturales_x000d__x000a_"/>
        <s v="Diseño e eimplementación de circuitos regionales para la movilidad de los procesos y practicas artísticas y culturales en articulación con las infraestructuras y los programas existentes en el territorio."/>
        <s v="Estructuración, construcción, adecuación y/o dotación de espacios para el desarrollo de las expresiones y manifestaciones culturales y artísticas propias de los territorios."/>
        <s v="Fortalecimiento de la función social del patrimonio cultural con enfoque de promoción de las identidades culturales desde los territorios - Memoria de los Territorios"/>
        <s v="Garantia de la preservación del patrimonio material representado en las colecciones de los Museos del Ministerio de  Cultura"/>
        <s v="Particpación en la formulación y ejecución de los de los planes  conmemorativos al Bicentenario 1819-1823. con enfoque territorial"/>
        <s v="Transmisión y conservación de los oficios de las artes y el patrimonio cultural para el desarrollo social de los territorios- Memoria en las manos"/>
        <s v="Vincular la conservación, protección,  recuperación y nuevas dinámicas  del patrimonio material (mueble e inmueble)  a los procesos productivos propios de los territorios - Memoria Construida"/>
        <s v="Fortalecimiento de espacios itinerantes y no convencionales, para extender la oferta de bienes y servicios culturales._x000d__x000a_"/>
        <s v="Fortalecimiento del Programa Nacional de Concertación Cultural - PNCC y el Programa Nacional de Estimulos -  PNE."/>
        <s v="Generación de “valor agregado naranja” en el sector productivo a partir del patrimonio cultural."/>
        <s v="Articulación y mejoramiento del Sistema Integrado de Gestión Institucional"/>
        <s v="Aseguramiento y fortalecimiento del Modelo Integrado de Planeación y Gestión en el Ministerio de Cultura"/>
        <s v="Fortalecemiento del sistema de control interno y la lucha contra la corrupción"/>
        <s v="Fortalecimiento de  las TICs y los canales de comunicación."/>
        <s v="Fortalecimiento de la gestión jurídica de la entidad"/>
        <s v="Fortalecimiento de la implementación de los instrumentos archivísticos para facilitar su utilización y garantizar su conservación y preservación a largo plazo."/>
        <s v="Fortalecimiento de las estrategias de transparencia, participación y servicio al ciudadano"/>
        <s v="Fortalecimiento de las políticas de gestión del Talento Humano"/>
        <s v="Promoción de una gerencia efectiva de los recursos físicos y financieros"/>
      </sharedItems>
    </cacheField>
    <cacheField name="SIN_ID" numFmtId="0">
      <sharedItems containsSemiMixedTypes="0" containsString="0" containsNumber="1" containsInteger="1" minValue="221" maxValue="310" count="76">
        <n v="223"/>
        <n v="224"/>
        <n v="225"/>
        <n v="226"/>
        <n v="227"/>
        <n v="221"/>
        <n v="222"/>
        <n v="304"/>
        <n v="228"/>
        <n v="232"/>
        <n v="229"/>
        <n v="230"/>
        <n v="231"/>
        <n v="237"/>
        <n v="233"/>
        <n v="234"/>
        <n v="289"/>
        <n v="235"/>
        <n v="236"/>
        <n v="243"/>
        <n v="244"/>
        <n v="245"/>
        <n v="246"/>
        <n v="247"/>
        <n v="307"/>
        <n v="249"/>
        <n v="250"/>
        <n v="251"/>
        <n v="248"/>
        <n v="238"/>
        <n v="239"/>
        <n v="240"/>
        <n v="241"/>
        <n v="242"/>
        <n v="252"/>
        <n v="253"/>
        <n v="254"/>
        <n v="259"/>
        <n v="290"/>
        <n v="309"/>
        <n v="255"/>
        <n v="256"/>
        <n v="257"/>
        <n v="308"/>
        <n v="262"/>
        <n v="263"/>
        <n v="264"/>
        <n v="267"/>
        <n v="297"/>
        <n v="310"/>
        <n v="260"/>
        <n v="261"/>
        <n v="265"/>
        <n v="266"/>
        <n v="275"/>
        <n v="276"/>
        <n v="268"/>
        <n v="269"/>
        <n v="270"/>
        <n v="271"/>
        <n v="272"/>
        <n v="273"/>
        <n v="274"/>
        <n v="306"/>
        <n v="281"/>
        <n v="283"/>
        <n v="282"/>
        <n v="286"/>
        <n v="288"/>
        <n v="287"/>
        <n v="280"/>
        <n v="284"/>
        <n v="285"/>
        <n v="277"/>
        <n v="278"/>
        <n v="279"/>
      </sharedItems>
    </cacheField>
    <cacheField name="SIN_NOMBRE" numFmtId="0">
      <sharedItems count="76">
        <s v="Territorios con política de turismo cultural implementada"/>
        <s v="Pilotos de PCI en contextos Urbanos PCIU implementados"/>
        <s v="Política de formación artística y cultural diseñada"/>
        <s v="Plan Decenal de Lenguas Nativas concertado e implementado  "/>
        <s v="Documentos de Políticas Públicas para el fortalecimiento de la Economia Naranja formulados_x000d__x000a_"/>
        <s v="Proyecto de modificación de la Ley de Cultura presentado al Congreso "/>
        <s v="Iniciativas legislativas presentadas ante el Congreso que inciden en el sector cultura, conceptualizadas"/>
        <s v="Marco normativo generado para el desarrollo de la economia naranja"/>
        <s v="Subsectores de la Cuenta Satélite de Cultura medidos "/>
        <s v="Cumplimiento de compromisos en territorios priorizados "/>
        <s v="Entidades territoriales asesoradas en la estrategia de Fomento a la Gestión Cultural "/>
        <s v="Creadores y gestores culturales vinculados a los Beneficios Económicos Periódicos - BEPS"/>
        <s v="Entidades territoriales que incluyen el componente cultural en sus planes de desarrollo"/>
        <s v="Medidas de reparación atendidas"/>
        <s v="Municipios acompañados en el desarrollo de estrategias de Nodos de Emprendimiento Cultural"/>
        <s v="Colectivos de mujeres atendidos con fortalecimiento de sus habilidades y capacidades de gestión."/>
        <s v="Pilotos con el programa &quot;mujeres afro narran su territorio implementados&quot; (componente emprendimiento)."/>
        <s v="Agendas creativas regionales implementadas _x000d__x000a_"/>
        <s v="Áreas de Desarrollo Naranja (ADN) implementadas"/>
        <s v="Cualificaciones del sector según el mapa ocupacional y los segmentos del campo cultural elaboradas._x000d__x000a_"/>
        <s v="Personas beneficiadas por programas de formación artística y cultural"/>
        <s v="Niños y jóvenes beneficiados por programas y procesos artísticos y culturales "/>
        <s v="Municipios acompañados en el desarrollo de estrategias de circulación y formación de públicos, para el cine colombiano. "/>
        <s v="Colectivos de comunicación fortalecidos en narrativas, creación y comunicación"/>
        <s v="Pilotos con el programa &quot;mujeres afro narran su territorio implementados&quot;. (componente creación)"/>
        <s v="Nuevos contenidos visuales, sonoros y convergentes de comunicación cultural creados"/>
        <s v="Conciertos realizados para acercar al público a la experiencia de la musica sinfónica."/>
        <s v="Funciones de obras artisticas y culturales realizadas en sala del Teatro Colón "/>
        <s v="Visitas de usuarios a los contenidos de la plataforma Retina Latina registradas"/>
        <s v="Promedio de libros leídos por la población colombiana entre 5 y 11 años (ECC)"/>
        <s v="Promedio de libros leídos por la población colombiana, de 12 años o más  (ECC)"/>
        <s v="Libros digitales dispuestos al público por la Biblioteca Nacional de Colombia"/>
        <s v="Usuarios registrados en las plataformas Maguaré y MaguaRED"/>
        <s v="Entidades territoriales con asesoría y acompañamiento técnico para el fortalecimiento de las redes y/o bibliotecas públicas  de su región."/>
        <s v="Instrumentos de Financiación diseñados y puestos en marcha (FIDETER, FNG, Aldea)"/>
        <s v="Valor de los recursos técnicos y/o financieros gestionados a través de procesos de cooperación."/>
        <s v="Proyectos aprobados en el Sistema General de Regalías para el sector Cultura "/>
        <s v="Circuitos regionales para la movilidad de los procesos y prácticas artísticas y culturales, diseñados y en funcionamiento"/>
        <s v="Circuitos nacionales e internacionales de las narradoras afros y sus obras_x000d__x000a_"/>
        <s v="Obras artísticas creadas y exhibidas en los salones nacionales y regionales de artistas  "/>
        <s v="Infraestructuras culturales Construidas, adecuadas y dotadas,_x000d__x000a_"/>
        <s v="Diseño del museo de la diversidad étnica y cultural_x000d__x000a_"/>
        <s v="Espacios físicos adecuados y/o mantenidos para el desarrollo de las funciones museológicas"/>
        <s v="Museo narrativo para las mujeres afro que narran su territorio"/>
        <s v="Manifestaciones inscritos en la Lista Representativa de Patrimonio Cultural Inmaterial de la Humanidad y la Lista de Patrimonio Mundial de la UNESCO_x000a_"/>
        <s v="Elementos inscritos en las Listas Representativas de Patrimonio Cultural Inmaterial y de Bienes de Interés Cultural de la Nación."/>
        <s v="Regiones PDET con el programa de Expedición Sensorial Implementado._x000d__x000a_"/>
        <s v="Planes de conservación de colecciones ejecutados"/>
        <s v="Planes formulados y en ejecución"/>
        <s v="Ejemplares de la colección &quot;Historias de la Historia de Colombia&quot; que hacen parte de la Serie Leer es mi cuento entregados"/>
        <s v="Escuelas Taller de Colombia creadas"/>
        <s v="Talleres Escuela creadas"/>
        <s v="Bienes de interés cultural del ámbito nacional que cuentan con Planes Especiales de Manejo y Protección PEMP_x000d__x000a_"/>
        <s v="Bienes de interés cultural del ámbito nacional intervenidos_x000d__x000a_"/>
        <s v="Bibliotecas públicas de la RNBP que implementan el Programa de Bibliotecas Itinerantes. "/>
        <s v="Exposiciones de colecciones itinerantes realizadas_x000d__x000a_"/>
        <s v="Proyectos artísticos y culturales financiados a través del Programa Nacional de Concertación Cultural"/>
        <s v="Proyectos apoyados por el PNCC priorizados con seguimiento "/>
        <s v="Estímulos otorgados a proyectos artísticos y culturales"/>
        <s v="Estímulos otorgados por el PNE, priorizados con seguimiento "/>
        <s v="Escuela Taller Naranja creada"/>
        <s v="Unidades de negocio bajo el modelo de la Diáspora Africana en Colombia apoyadas"/>
        <s v="Emprendedores o empresas de las agendas creativas regionales fortalecidas con asistencia técnica_x000d__x000a_"/>
        <s v="Empresas que acceden al sistema de beneficios tributarios_x000d__x000a_"/>
        <s v="Nivel de integración de los subsistemas en el Sistema Integrado de Gestión Institucional"/>
        <s v="Nivel de implementación de las dimensiones del Modelo Integrado de Planeación y Gestión._x000d__x000a_"/>
        <s v="Cumplimiento del Programa Anual de Auditorias Internas."/>
        <s v="Capacidad en la prestación de servicios de tecnología"/>
        <s v="Porcentaje de fallos a favor de procesos judiciales en donde participe la entidad"/>
        <s v="Instrumentos archivísticos implementados en el Ministerio de Cultura"/>
        <s v="Seguimiento y monitoreo del Plan Anticorrupción y Atención al Ciudadano. _x000d__x000a_"/>
        <s v="Nivel de ejecución del Plan Institucional de Capacitaciones_x000d__x000a_"/>
        <s v="Nivel de satisfacción de las capacitaciones realizadas"/>
        <s v="Porcentaje de ejecución presupuestal"/>
        <s v="Seguimiento del Plan Estratégico Institucional_x000d__x000a_"/>
        <s v="Porcentaje de reducción de gastos de logística, tiquetes, viáticos y publicidad (austeridad de gasto)"/>
      </sharedItems>
    </cacheField>
    <cacheField name="SIP_CANTIDAD" numFmtId="3">
      <sharedItems containsSemiMixedTypes="0" containsString="0" containsNumber="1" minValue="0" maxValue="10000000000"/>
    </cacheField>
    <cacheField name="SIU_NUMBRE" numFmtId="0">
      <sharedItems/>
    </cacheField>
    <cacheField name="SIA_CANTIDAD" numFmtId="3">
      <sharedItems containsString="0" containsBlank="1" containsNumber="1" minValue="0" maxValue="11359904293"/>
    </cacheField>
    <cacheField name="SIA_OBSERVACIONES" numFmtId="0">
      <sharedItems containsBlank="1" longText="1"/>
    </cacheField>
    <cacheField name="SIA_FECHA" numFmtId="22">
      <sharedItems containsNonDate="0" containsDate="1" containsString="0" containsBlank="1" minDate="2019-07-08T11:35:06" maxDate="2019-12-31T18:38:12"/>
    </cacheField>
    <cacheField name="% Avance TOTAL" numFmtId="9">
      <sharedItems containsMixedTypes="1" containsNumber="1" minValue="0" maxValue="7.46" count="29">
        <s v="Meta sin Valor"/>
        <n v="1.4"/>
        <n v="1"/>
        <n v="4"/>
        <n v="0"/>
        <n v="2.9627507163323781"/>
        <n v="0.56000000000000005"/>
        <n v="1.0625"/>
        <n v="1.25"/>
        <n v="2.3333333333333335"/>
        <n v="1.0971536109150788"/>
        <n v="1.0640714350549152"/>
        <n v="1.024"/>
        <n v="1.3"/>
        <n v="1.1434782608695653"/>
        <n v="1.1055155000000001"/>
        <n v="2.2667173333333333"/>
        <n v="0.66666666666666663"/>
        <n v="1.1359904293"/>
        <n v="1.2285714285714286"/>
        <n v="0.92596401028277631"/>
        <n v="1.02"/>
        <n v="7.46"/>
        <n v="0.99"/>
        <n v="1.1494871794871795"/>
        <n v="1.0444444444444445"/>
        <n v="1.175"/>
        <n v="1.0572687224669604"/>
        <n v="0.9"/>
      </sharedItems>
    </cacheField>
    <cacheField name="PND" numFmtId="0">
      <sharedItems count="2">
        <s v="-"/>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x v="0"/>
    <x v="0"/>
    <x v="0"/>
    <x v="0"/>
    <x v="0"/>
    <x v="0"/>
    <n v="0"/>
    <s v="Número"/>
    <n v="0"/>
    <s v="A Dic  La dirección de patrimonio finalizó el proceso de validación de los lineamientos de la política de turismo cultural realizado durante el 2do semestre de 2019. _x000d__x000a_El evento de turismo culturalse reqalizo  conjuntamente con el Viceministerio de turismo  el 13,14 y 15 de noviembre en la ciudad de Popayán._x000d__x000a_"/>
    <d v="2019-12-31T15:35:15"/>
    <x v="0"/>
    <x v="0"/>
  </r>
  <r>
    <x v="0"/>
    <x v="0"/>
    <x v="0"/>
    <x v="0"/>
    <x v="0"/>
    <x v="1"/>
    <x v="1"/>
    <n v="0"/>
    <s v="Número"/>
    <n v="0"/>
    <s v="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_x000a_Además, a través de las &quot;Becas para la implementación de la metodología de patrimonio cultural inmaterial en contextos urbanos&quot;, comunidades de Bogotá, Neiva y Montería tendrán la oportunidad de implementar la caja de herramientas en el marco del fortalecimiento de sus propias estrategias de salvaguardia. "/>
    <d v="2019-12-31T15:36:37"/>
    <x v="0"/>
    <x v="0"/>
  </r>
  <r>
    <x v="1"/>
    <x v="0"/>
    <x v="0"/>
    <x v="0"/>
    <x v="0"/>
    <x v="2"/>
    <x v="2"/>
    <n v="0"/>
    <s v="Número"/>
    <n v="0"/>
    <s v="Se elaboró el borrador del documento  de propuesta para el diseño de política. Está en proceso de revisión para presentación a la Dirección. Se está ajustando lo referente a Presupuesto estimado. "/>
    <d v="2019-09-30T12:04:16"/>
    <x v="0"/>
    <x v="0"/>
  </r>
  <r>
    <x v="2"/>
    <x v="0"/>
    <x v="0"/>
    <x v="0"/>
    <x v="0"/>
    <x v="3"/>
    <x v="3"/>
    <n v="25"/>
    <s v="Número"/>
    <n v="35"/>
    <s v="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_x000a_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_x000a_Se acordó que el Ministerio de Cultura apoyará a ONIC, AICO y Gobierno Mayor para la retroalimentación del Plan Decenal de Lenguas dentro de los territorios. Contratación de un experto lingüista indígena para la CIT_x000d__x000a_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_x000a_Hito 3: Documento final con retroalimentación y observaciones al Plan Decenal de Lenguas. 15%: El cumplimiento de este hito se tiene previsto para el mes de diciembre."/>
    <d v="2019-09-30T18:04:04"/>
    <x v="1"/>
    <x v="0"/>
  </r>
  <r>
    <x v="3"/>
    <x v="0"/>
    <x v="0"/>
    <x v="0"/>
    <x v="0"/>
    <x v="4"/>
    <x v="4"/>
    <n v="1"/>
    <s v="Número"/>
    <n v="1"/>
    <s v="Se cuenta con los siguientes documentos realizados en la vigencia 2019:_x000d__x000a__x000d__x000a_a) Documento de bases conceptuales de economía naranja._x000d__x000a_b) Documento de estrategias de economía naranja._x000d__x000a__x000d__x000a_Que constituyen en unidad el primer documento de política de Economía Naranja realizado por el Viceministerio de la Creatividad y la Economía Naranja y aprobado por el Consejo de Economía Naranja el 16-12-2019._x000d__x000a_"/>
    <d v="2019-12-31T15:26:26"/>
    <x v="2"/>
    <x v="0"/>
  </r>
  <r>
    <x v="4"/>
    <x v="0"/>
    <x v="0"/>
    <x v="1"/>
    <x v="1"/>
    <x v="5"/>
    <x v="5"/>
    <n v="0"/>
    <s v="Número"/>
    <n v="0"/>
    <s v="Se ha iniciado el acercamiento con el área de agenda legislativa y  en el  marco del Plan Nacional de Desarrollo se modificó el artículo 10 de la Ley 397 de 1997._x000d__x000a_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quot;_x000d__x000a__x000d__x000a_Esta contratación se realiza con el fin de dar cumplimiento al plan estratégico institucional a cargo de esta Oficina planteada para el cuatrienio"/>
    <d v="2019-12-27T10:26:42"/>
    <x v="0"/>
    <x v="0"/>
  </r>
  <r>
    <x v="4"/>
    <x v="0"/>
    <x v="0"/>
    <x v="1"/>
    <x v="1"/>
    <x v="6"/>
    <x v="6"/>
    <n v="25"/>
    <s v="Número"/>
    <n v="25"/>
    <s v="Se conceptualizaron 22 proyectos, superando con creces la meta de 15 para el año 2019._x000d__x000a__x000d__x000a__x000d__x000a_"/>
    <d v="2019-12-31T10:36:12"/>
    <x v="2"/>
    <x v="0"/>
  </r>
  <r>
    <x v="3"/>
    <x v="0"/>
    <x v="0"/>
    <x v="1"/>
    <x v="1"/>
    <x v="7"/>
    <x v="7"/>
    <n v="3"/>
    <s v="Número"/>
    <n v="3"/>
    <s v="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
    <d v="2019-12-31T15:23:22"/>
    <x v="2"/>
    <x v="0"/>
  </r>
  <r>
    <x v="3"/>
    <x v="0"/>
    <x v="0"/>
    <x v="2"/>
    <x v="2"/>
    <x v="8"/>
    <x v="8"/>
    <n v="1"/>
    <s v="Número"/>
    <n v="4"/>
    <s v="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_x000a__x000d__x000a_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
    <d v="2019-12-31T15:27:21"/>
    <x v="3"/>
    <x v="0"/>
  </r>
  <r>
    <x v="5"/>
    <x v="1"/>
    <x v="1"/>
    <x v="3"/>
    <x v="3"/>
    <x v="9"/>
    <x v="9"/>
    <n v="33"/>
    <s v="Número"/>
    <m/>
    <m/>
    <m/>
    <x v="4"/>
    <x v="0"/>
  </r>
  <r>
    <x v="6"/>
    <x v="1"/>
    <x v="1"/>
    <x v="4"/>
    <x v="4"/>
    <x v="10"/>
    <x v="10"/>
    <n v="93"/>
    <s v="Porcentaje"/>
    <n v="93"/>
    <s v="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
    <d v="2019-10-31T13:11:11"/>
    <x v="2"/>
    <x v="0"/>
  </r>
  <r>
    <x v="6"/>
    <x v="1"/>
    <x v="1"/>
    <x v="4"/>
    <x v="4"/>
    <x v="11"/>
    <x v="11"/>
    <n v="1047"/>
    <s v="Número"/>
    <n v="3102"/>
    <s v="246 municipios han girado a Colpensiones la suma de $75.930 millones para asignar a 3.102 creadores y gestores culturales los beneficios de anualidad vitalicia (2.717) y financiación de aportes al Servicio Social Complementario de BEPS (385)."/>
    <d v="2019-12-31T13:11:48"/>
    <x v="5"/>
    <x v="0"/>
  </r>
  <r>
    <x v="6"/>
    <x v="1"/>
    <x v="1"/>
    <x v="4"/>
    <x v="4"/>
    <x v="12"/>
    <x v="12"/>
    <n v="0"/>
    <s v="Número"/>
    <n v="0"/>
    <s v="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
    <d v="2019-10-31T13:12:49"/>
    <x v="0"/>
    <x v="0"/>
  </r>
  <r>
    <x v="2"/>
    <x v="1"/>
    <x v="1"/>
    <x v="5"/>
    <x v="5"/>
    <x v="13"/>
    <x v="13"/>
    <n v="100"/>
    <s v="Porcentaje"/>
    <n v="56"/>
    <s v="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_x000a_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_x000a_Avance hito 3:  Gestionar la liquidación de convenios (25%): Este hito está proyectado para cumplirse en el mes de diciembre."/>
    <d v="2019-09-30T18:07:13"/>
    <x v="6"/>
    <x v="0"/>
  </r>
  <r>
    <x v="7"/>
    <x v="1"/>
    <x v="1"/>
    <x v="6"/>
    <x v="6"/>
    <x v="14"/>
    <x v="14"/>
    <n v="16"/>
    <s v="Número"/>
    <n v="17"/>
    <s v="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_x000a_• 27 de febrero - Ibagué_x000d__x000a_• 2 de abril – Barranquilla_x000d__x000a_• 12 de abril – Bucaramanga_x000d__x000a_• 25 de abril – Neiva_x000d__x000a_• 2 de mayo – Medellín_x000d__x000a_• 7 de mayo - Valledupar_x000d__x000a_• 9 de mayo – Cali_x000d__x000a_• 30 de mayo – Cartagena_x000d__x000a_• 4 de junio - Armenia_x000d__x000a_• 6 de junio - Manizales_x000d__x000a_• 11 de junio - Pereira_x000d__x000a_• 13 de junio - Pasto_x000d__x000a_• 18 de junio – Popayán_x000d__x000a_• 5 de julio – Cúcuta_x000d__x000a_• 16 de julio – Santa Marta_x000d__x000a_• 1 de agosto – Villavicencio_x000d__x000a_• 10 de agosto – Bogotá_x000d__x000a__x000d__x000a_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_x000a__x000d__x000a_Lo anterior dió pie a la instalación de un nodo adicional a la meta, el cual se realizó en la ciudad de Bogotá"/>
    <d v="2019-12-31T09:51:44"/>
    <x v="7"/>
    <x v="0"/>
  </r>
  <r>
    <x v="7"/>
    <x v="1"/>
    <x v="1"/>
    <x v="6"/>
    <x v="6"/>
    <x v="15"/>
    <x v="15"/>
    <n v="8"/>
    <s v="Número"/>
    <n v="10"/>
    <s v="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_x000a__x000d__x000a_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
    <d v="2019-12-31T09:56:24"/>
    <x v="8"/>
    <x v="0"/>
  </r>
  <r>
    <x v="5"/>
    <x v="1"/>
    <x v="1"/>
    <x v="6"/>
    <x v="6"/>
    <x v="16"/>
    <x v="16"/>
    <n v="1"/>
    <s v="Número"/>
    <n v="0"/>
    <s v="En el mes de mayo se realizará el lanzamiento de la convocatoria de la fase II del programa nacional de estimulos que incluye 2 Becas para la públicación de obra de autoras negras, afrocolombianas, raizales y/o palenqueras. _x000d__x000a_Se tiene previsto que se otorguen estos estimulos en el mes de octubre del 2019._x000d__x000a__x000d__x000a_La convocatoria cerró el 5 de julio del 2019, se presentaron y los resultados que se publicaran el 25 de octubre del 2019. Cada estímulo tiene una cuantía de $12.000.000._x000d__x000a__x000d__x000a_De acuerdo al reporte de Literatura: &quot;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_x000a__x000d__x000a_El Ministerio cumplió con ofertar las 2 Becas a través del programa Nacional de Estimulos; sinembargo, las obras obras presentadas no cumplieron con los requisitos y criterios del jurado."/>
    <d v="2019-12-31T11:56:31"/>
    <x v="4"/>
    <x v="0"/>
  </r>
  <r>
    <x v="3"/>
    <x v="1"/>
    <x v="1"/>
    <x v="7"/>
    <x v="7"/>
    <x v="17"/>
    <x v="17"/>
    <n v="3"/>
    <s v="Número"/>
    <n v="7"/>
    <s v="Se concertó la siguiente agenda creativa regional:_x000d__x000a_- Cauca, Popayán (Acuerdo de Voluntades firmado en diciembre)._x000d__x000a_En total se logran concertar 7 agendas creativas naranja en el país durante el 2019:_x000d__x000a_- Cesar (acuerdo de voluntades firmado en Julio)_x000d__x000a_- Bogotá (acuerdo de voluntades firmado el 16 de agosto)_x000d__x000a_- Nariño (acuerdo de voluntades firmado el 21 de agosto)_x000d__x000a_- Barranquilla (acuerdo de voluntades firmado el 20 de septiembre)_x000d__x000a_- Cali_x000d__x000a_- Ibagué (acuerdo de voluntades firmado en noviembre)_x000d__x000a__x000d__x000a_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
    <d v="2019-12-31T15:28:54"/>
    <x v="9"/>
    <x v="1"/>
  </r>
  <r>
    <x v="3"/>
    <x v="1"/>
    <x v="1"/>
    <x v="7"/>
    <x v="7"/>
    <x v="18"/>
    <x v="18"/>
    <n v="1"/>
    <s v="Número"/>
    <n v="4"/>
    <s v="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_x000a__x000d__x000a_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_x000a__x000d__x000a_El aumento en la meta corresponde principalmente a la responsabilidad que tuvieron las administraciones regionales pasadas a la hora de determinar la implementación de las ADN y firmar los decretos de delimitación de las mismas, antes de terminar el proceso de gobierno."/>
    <d v="2019-12-31T15:28:07"/>
    <x v="3"/>
    <x v="1"/>
  </r>
  <r>
    <x v="0"/>
    <x v="2"/>
    <x v="2"/>
    <x v="8"/>
    <x v="8"/>
    <x v="19"/>
    <x v="19"/>
    <n v="16"/>
    <s v="Número"/>
    <n v="16"/>
    <s v="Desde el proyecto de Fortalecimiento de Capital Humano se aplicó la ruta metodológica que permitió el  diseño de cualificaciones para las tres categorías de la economía naranja así: _x000d__x000a_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_x000a_Categoría  2 Industrias Creativas: _x000d__x000a_14.Estudios literarios, 15. Animación y promoción a la lectura, 16. Camarografo (Análisis Funcional)_x000d__x000a_Categoría  3 Creaciones funcionales: Se adelanto la etapa A: Caracterización y  B Análisis de Brechas  de Capital Humano, se continuara con la etapa D  en 2020"/>
    <d v="2019-12-31T16:26:31"/>
    <x v="2"/>
    <x v="0"/>
  </r>
  <r>
    <x v="1"/>
    <x v="2"/>
    <x v="2"/>
    <x v="8"/>
    <x v="8"/>
    <x v="20"/>
    <x v="20"/>
    <n v="4251"/>
    <s v="Número"/>
    <n v="4664"/>
    <s v="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_x000a_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_x000a_"/>
    <d v="2019-12-31T13:50:28"/>
    <x v="10"/>
    <x v="1"/>
  </r>
  <r>
    <x v="1"/>
    <x v="2"/>
    <x v="2"/>
    <x v="8"/>
    <x v="8"/>
    <x v="21"/>
    <x v="21"/>
    <n v="176272"/>
    <s v="Número"/>
    <n v="187566"/>
    <s v="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_x000a__x000d__x000a_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
    <d v="2019-12-31T16:09:53"/>
    <x v="11"/>
    <x v="0"/>
  </r>
  <r>
    <x v="8"/>
    <x v="2"/>
    <x v="2"/>
    <x v="8"/>
    <x v="8"/>
    <x v="22"/>
    <x v="22"/>
    <n v="4"/>
    <s v="Número"/>
    <n v="16"/>
    <s v="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_x000a_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_x000a_"/>
    <d v="2019-12-31T16:06:30"/>
    <x v="3"/>
    <x v="0"/>
  </r>
  <r>
    <x v="9"/>
    <x v="2"/>
    <x v="2"/>
    <x v="8"/>
    <x v="8"/>
    <x v="23"/>
    <x v="23"/>
    <n v="10"/>
    <s v="Número"/>
    <n v="10"/>
    <s v="_x000d__x000a_A la fecha se ha fortalecido  1 colectivo de Comunicación en Montes de María -Encuentro de Comunicación realizado el   donde se intercambiaron experiencias y se fortalecieron los procesos de comunicación_x000d__x000a_ &quot;Colectivo de Comunicación Monte de María Linea 21&quot;_x000d__x000a__x000d__x000a_Los ganadores  de la  primera fase de la Convocatoria &quot;Becas de Comunicación y Territorio&quot;   fuerón los siguientes colectivos de comunciación:_x000d__x000a__x000d__x000a_2. Resguardo Indígena Páez de Corinto_x000d__x000a_3. Resguardo Indígena Arhuaco de la Sierra Nevada_x000d__x000a_4.Cabildo Indígena de Pastás_x000d__x000a_5. Asociación Agropecuaria Vereda de Chapacual_x000d__x000a_6. Asociación Campesina de Inzá Tierradentro_x000d__x000a_7. Asociación Agrocomunitaria el Porvenir_x000d__x000a_8. Asociación de Comunicadores de Nuquí &quot; Colectivo EN PUJA&quot;_x000d__x000a_9. Asociación de Mujeres Afrodescendientes del Norte del Cauca ASOM_x000d__x000a_10. Colectivo de Comunicaciones Narradoras y Narradores de la Memoria Kucha Suto de San Basilio de Palenque_x000d__x000a__x000d__x000a_La Dirección de Comunicaciones cumplió con el fortalecimiento de los 10 colectivos a través  de asistencia técnica, apoyo a la formación y apoyo a la producción de contenidos mediáticos propios. "/>
    <d v="2019-12-31T16:09:11"/>
    <x v="2"/>
    <x v="0"/>
  </r>
  <r>
    <x v="5"/>
    <x v="2"/>
    <x v="2"/>
    <x v="8"/>
    <x v="8"/>
    <x v="24"/>
    <x v="24"/>
    <n v="1"/>
    <s v="Número"/>
    <n v="1"/>
    <s v="El avance cualitativo corresponde al diseño de la estrategia del Programa Mujeres Afro, que según establecido en la ficha tecnica corresponde al 10%_x000d__x000a__x000d__x000a_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_x000a__x000d__x000a_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_x000a__x000d__x000a_El 02 de noviembre se cumplió con el 100% del proceso de formación piloto de Narrativas Afrocomunitarias en Buenaventura. _x000d__x000a__x000d__x000a__x000d__x000a_El 06 de diciembre se realizó la claúsura del piloto de formación en Buenaventura. "/>
    <d v="2019-12-31T11:46:54"/>
    <x v="2"/>
    <x v="0"/>
  </r>
  <r>
    <x v="9"/>
    <x v="2"/>
    <x v="2"/>
    <x v="9"/>
    <x v="9"/>
    <x v="25"/>
    <x v="25"/>
    <n v="250"/>
    <s v="Número"/>
    <n v="256"/>
    <s v="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_x000a__x000d__x000a__x000d__x000a_"/>
    <d v="2019-12-31T15:17:48"/>
    <x v="12"/>
    <x v="1"/>
  </r>
  <r>
    <x v="10"/>
    <x v="2"/>
    <x v="2"/>
    <x v="9"/>
    <x v="9"/>
    <x v="26"/>
    <x v="26"/>
    <n v="80"/>
    <s v="Número"/>
    <n v="104"/>
    <s v="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
    <d v="2019-12-31T16:12:29"/>
    <x v="13"/>
    <x v="0"/>
  </r>
  <r>
    <x v="11"/>
    <x v="2"/>
    <x v="2"/>
    <x v="9"/>
    <x v="9"/>
    <x v="27"/>
    <x v="27"/>
    <n v="230"/>
    <s v="Número"/>
    <n v="263"/>
    <s v="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_x000a_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_x000a_El sobre cumplimiento de 33 funciones adicionales a las proyectadas se da gracias a la gestión con el sector privado para producir o coproducir funciones adicionales en la vigencia 2019, con el fin de obtener un desempeño sobresaliente."/>
    <d v="2019-12-30T15:51:34"/>
    <x v="14"/>
    <x v="0"/>
  </r>
  <r>
    <x v="8"/>
    <x v="2"/>
    <x v="2"/>
    <x v="10"/>
    <x v="10"/>
    <x v="28"/>
    <x v="28"/>
    <n v="2000000"/>
    <s v="Número"/>
    <n v="2211031"/>
    <s v="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
    <d v="2019-12-31T18:13:38"/>
    <x v="15"/>
    <x v="0"/>
  </r>
  <r>
    <x v="12"/>
    <x v="2"/>
    <x v="2"/>
    <x v="11"/>
    <x v="11"/>
    <x v="29"/>
    <x v="29"/>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5:03"/>
    <x v="0"/>
    <x v="0"/>
  </r>
  <r>
    <x v="12"/>
    <x v="2"/>
    <x v="2"/>
    <x v="11"/>
    <x v="11"/>
    <x v="30"/>
    <x v="30"/>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7:49"/>
    <x v="0"/>
    <x v="0"/>
  </r>
  <r>
    <x v="12"/>
    <x v="2"/>
    <x v="2"/>
    <x v="11"/>
    <x v="11"/>
    <x v="31"/>
    <x v="31"/>
    <n v="2800"/>
    <s v="Número"/>
    <n v="2800"/>
    <s v="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_x000a_Cumpliendo con el indicador en un 100%."/>
    <d v="2019-11-30T10:49:36"/>
    <x v="2"/>
    <x v="1"/>
  </r>
  <r>
    <x v="1"/>
    <x v="2"/>
    <x v="2"/>
    <x v="11"/>
    <x v="11"/>
    <x v="32"/>
    <x v="32"/>
    <n v="750000"/>
    <s v="Número"/>
    <n v="1700038"/>
    <s v="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_x000a_A la fecha se encuentran alojados y al aire 875 contenidos en MaguaRED y 686 en Maguaré.  "/>
    <d v="2019-11-30T10:58:51"/>
    <x v="16"/>
    <x v="0"/>
  </r>
  <r>
    <x v="12"/>
    <x v="2"/>
    <x v="2"/>
    <x v="11"/>
    <x v="11"/>
    <x v="33"/>
    <x v="33"/>
    <n v="543"/>
    <s v="Número"/>
    <n v="543"/>
    <s v="Se ha dado cumplimiento del 100% a la meta proyectada. _x000d__x000a__x000d__x000a_Se llevaron a cabo 543 asistencias técnicas y 6 adicionales por requerimiento de las regiones, para un acumulado de 549 equivalente al 101,1%. _x000d__x000a_"/>
    <d v="2019-12-31T11:03:38"/>
    <x v="2"/>
    <x v="0"/>
  </r>
  <r>
    <x v="3"/>
    <x v="3"/>
    <x v="3"/>
    <x v="12"/>
    <x v="12"/>
    <x v="34"/>
    <x v="34"/>
    <n v="3"/>
    <s v="Número"/>
    <n v="2"/>
    <s v="1. Desde el Viceministerio de la Creatividad y la Economía Naranja se realizó seguimiento a los proyectos presentados por la Fundación Batuta y a escuela de música EMMAT en el marco de la Resolución 1933-2019 Línea Reactiva de FINDETER._x000d__x000a__x000d__x000a_Y se enviaron los conceptos técnicos favorables correspondientes a la aprobación de dichos proyectos._x000d__x000a_2. Se realizó seguimiento al Viceministerio de Fomento Regional y Patrimonio para la validación y entrega de los prototipos que serán incluidos en el módulo de la Línea Reactiva de FINDETER en el dominio www.economianaranja.gov.co_x000d__x000a__x000d__x000a_Con lo anterior se establecen 2 principales mecanismos de financiación diseñados y puestos en funcionamiento para la vigencia 2019: _x000d__x000a__x000d__x000a_2. Línea Reactiva de Findeter_x000d__x000a_3. Diseño y puesta en marcha de la segunda fase del Programa Nacional de Estímulos (Capítulo Naranja)"/>
    <d v="2019-12-31T15:29:33"/>
    <x v="17"/>
    <x v="0"/>
  </r>
  <r>
    <x v="13"/>
    <x v="3"/>
    <x v="3"/>
    <x v="13"/>
    <x v="13"/>
    <x v="35"/>
    <x v="35"/>
    <n v="10000000000"/>
    <s v="Número"/>
    <n v="11359904293"/>
    <s v="Nov. Se han aprobado $11,359,9, mill. de Gestión de Recursos de Cooperación, los cuales representan el 111,3% de la meta anual de 2019 ( $10,000 mill.) siendo los más representativos los aportes de AECID para formación en  Cocina de la Escuela Taller de Pasto por $525,1 mill."/>
    <d v="2019-11-30T11:53:28"/>
    <x v="18"/>
    <x v="0"/>
  </r>
  <r>
    <x v="6"/>
    <x v="3"/>
    <x v="3"/>
    <x v="13"/>
    <x v="13"/>
    <x v="36"/>
    <x v="36"/>
    <n v="70"/>
    <s v="Número"/>
    <n v="86"/>
    <s v="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
    <d v="2019-12-31T13:13:22"/>
    <x v="19"/>
    <x v="0"/>
  </r>
  <r>
    <x v="1"/>
    <x v="4"/>
    <x v="4"/>
    <x v="14"/>
    <x v="14"/>
    <x v="37"/>
    <x v="37"/>
    <n v="1"/>
    <s v="Número"/>
    <n v="1"/>
    <s v="Se presentan los siguinetes avances en el reporte del indicador:_x000d__x000a_* Se identificaron las infraestructuras para la circulación de prácticas artísticas y culturales a través de una encuesta virtual a los agentes enviada a los agentes de danza, teatro y circo._x000d__x000a_ * Se consolidó la información de escenarios de teatro y circo obtenida a través de los programas nacionales de Salas Concertadas y Salas de Danza. _x000d__x000a_"/>
    <d v="2019-12-31T09:44:43"/>
    <x v="2"/>
    <x v="0"/>
  </r>
  <r>
    <x v="5"/>
    <x v="4"/>
    <x v="4"/>
    <x v="14"/>
    <x v="14"/>
    <x v="38"/>
    <x v="38"/>
    <n v="10"/>
    <s v="Número"/>
    <n v="10"/>
    <s v="Con corte al 31 de diciembre las narradoras han participado en 10 circuitos._x000d__x000a__x000d__x000a_"/>
    <d v="2019-12-31T11:53:56"/>
    <x v="2"/>
    <x v="0"/>
  </r>
  <r>
    <x v="1"/>
    <x v="4"/>
    <x v="4"/>
    <x v="14"/>
    <x v="14"/>
    <x v="39"/>
    <x v="39"/>
    <n v="100"/>
    <s v="Número"/>
    <n v="100"/>
    <s v="El sábado 14 de septiembre en la ciudad de Bogotá, se dio apertura al 45SNA en la Galería Santa Fe. El evento que se realizará hasta el 4 de noviembre presenta a 166 artistas, en 11 sedes.  _x000d__x000a__x000d__x000a_https://www.periodicoarteria.com/SNA/Inauguran-Salon-Nacional-de-Artistas "/>
    <d v="2019-12-31T09:45:06"/>
    <x v="2"/>
    <x v="0"/>
  </r>
  <r>
    <x v="14"/>
    <x v="4"/>
    <x v="4"/>
    <x v="15"/>
    <x v="15"/>
    <x v="40"/>
    <x v="40"/>
    <n v="81"/>
    <s v="Número"/>
    <n v="81"/>
    <s v="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
    <d v="2019-11-30T15:33:05"/>
    <x v="2"/>
    <x v="1"/>
  </r>
  <r>
    <x v="15"/>
    <x v="4"/>
    <x v="4"/>
    <x v="15"/>
    <x v="15"/>
    <x v="41"/>
    <x v="41"/>
    <n v="0"/>
    <s v="Número"/>
    <n v="0"/>
    <s v="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
    <d v="2019-07-08T11:35:06"/>
    <x v="0"/>
    <x v="0"/>
  </r>
  <r>
    <x v="15"/>
    <x v="4"/>
    <x v="4"/>
    <x v="15"/>
    <x v="15"/>
    <x v="42"/>
    <x v="42"/>
    <n v="82"/>
    <s v="Número"/>
    <n v="82"/>
    <s v="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
    <d v="2019-07-08T11:43:11"/>
    <x v="2"/>
    <x v="0"/>
  </r>
  <r>
    <x v="5"/>
    <x v="4"/>
    <x v="4"/>
    <x v="15"/>
    <x v="15"/>
    <x v="43"/>
    <x v="43"/>
    <n v="0"/>
    <s v="Número"/>
    <m/>
    <m/>
    <m/>
    <x v="0"/>
    <x v="0"/>
  </r>
  <r>
    <x v="0"/>
    <x v="5"/>
    <x v="5"/>
    <x v="16"/>
    <x v="16"/>
    <x v="44"/>
    <x v="44"/>
    <n v="6"/>
    <s v="Número"/>
    <n v="6"/>
    <s v="Para el 2019 se cumplió la meta establecida con la postulación de Los conocimientos tradicionales asociados al Barniz de Pasto, Mopa-Mopa (CUAL) cuya decisión de inscripción la tomará la UNESCO en el 2021."/>
    <d v="2019-12-31T15:49:29"/>
    <x v="2"/>
    <x v="1"/>
  </r>
  <r>
    <x v="0"/>
    <x v="5"/>
    <x v="5"/>
    <x v="16"/>
    <x v="16"/>
    <x v="45"/>
    <x v="45"/>
    <n v="1145"/>
    <s v="Número"/>
    <n v="1145"/>
    <s v="A la fecha se han inscrito en la lista representativa  las siguientes manifestaciones y bienes:_x000d__x000a_1. Los conocimientos tradicionales asociados al Barniz de Pasto, Mopa-Mopa.  2. Los Saberes y tradiciones asociadas al Viche - Biche del Pacifico.  _x000d__x000a_3. PES de la manifestación de la Semana Santa de Ciénaga de Oro, Córdoba 4. La pesca artesanal en el río Magdalena.- _x000d__x000a__x000d__x000a_A la fecha se cumple la meta con los  4 Bienes y manifestaciones inscritos en las Listas Representativas de Patrimonio Cultural Inmaterial y de Bienes de Interés Cultural (Unesco y Nacional)."/>
    <d v="2019-12-31T15:50:53"/>
    <x v="2"/>
    <x v="1"/>
  </r>
  <r>
    <x v="1"/>
    <x v="5"/>
    <x v="5"/>
    <x v="16"/>
    <x v="16"/>
    <x v="46"/>
    <x v="46"/>
    <n v="2"/>
    <s v="Número"/>
    <n v="2"/>
    <s v="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
    <d v="2019-12-31T10:16:36"/>
    <x v="2"/>
    <x v="1"/>
  </r>
  <r>
    <x v="15"/>
    <x v="5"/>
    <x v="5"/>
    <x v="17"/>
    <x v="17"/>
    <x v="47"/>
    <x v="47"/>
    <n v="12"/>
    <s v="Número"/>
    <n v="12"/>
    <s v="El avance en el Sistema Integrado de Conservación y Restauración (SICRE) se continua realizó en todos los Museos del Ministerio de Cultura de manera permanente para mantener adecuadamente el patrimonio colombiano."/>
    <d v="2019-07-08T11:45:43"/>
    <x v="2"/>
    <x v="0"/>
  </r>
  <r>
    <x v="5"/>
    <x v="5"/>
    <x v="5"/>
    <x v="18"/>
    <x v="18"/>
    <x v="48"/>
    <x v="48"/>
    <n v="100"/>
    <s v="Número"/>
    <n v="100"/>
    <s v="Al cierre de la vigencia 2019 se formularon y ejecutaron la totalidad de los eventos conmemorativos al bicentenario. "/>
    <d v="2019-12-31T17:27:30"/>
    <x v="2"/>
    <x v="0"/>
  </r>
  <r>
    <x v="1"/>
    <x v="5"/>
    <x v="5"/>
    <x v="18"/>
    <x v="18"/>
    <x v="49"/>
    <x v="49"/>
    <n v="800000"/>
    <s v="Número"/>
    <n v="800000"/>
    <s v="Se entregaron 800.000 ejemplares de los dos títulos de &quot;Historias de la historia de Colombia&quot;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
    <d v="2019-12-31T10:18:19"/>
    <x v="2"/>
    <x v="0"/>
  </r>
  <r>
    <x v="0"/>
    <x v="5"/>
    <x v="5"/>
    <x v="19"/>
    <x v="19"/>
    <x v="50"/>
    <x v="50"/>
    <n v="11"/>
    <s v="Número"/>
    <n v="11"/>
    <s v="Se creó la escuela taller en villa del rosario y se formuló el proceso de formacion en jardineria con el apoyo de la escuela talle de cali. _x000d__x000a__x000d__x000a_Con esta creación se cumple la meta establecida para el 2019."/>
    <d v="2019-12-31T15:42:05"/>
    <x v="2"/>
    <x v="0"/>
  </r>
  <r>
    <x v="0"/>
    <x v="5"/>
    <x v="5"/>
    <x v="19"/>
    <x v="19"/>
    <x v="51"/>
    <x v="51"/>
    <n v="21"/>
    <s v="Número"/>
    <n v="21"/>
    <s v="En el 2019 se implementaron los  21 talleres escuela asi:_x000d__x000a_1.Taller Escuela en Lutheria en Carmelo- Choco_x000d__x000a_2.Taller Escuela en madera jose felix en Quibdo- Choco _x000d__x000a_3.Taller Escuela en Cantos de llano - Arauca _x000d__x000a_4.Taller Escuela Cantos de llano - Meta _x000d__x000a_5.Taller Escuela en carpinteria en Tunja_x000d__x000a_6.Taller Escuela en linotipía  en Tunja_x000d__x000a_7.Taller Escuela en tipos de madera en Tunja  _x000d__x000a_8.Taller Escuela en cestería en Puerto Nariño- Amazonas _x000d__x000a_9.Taller Escuela en ebanisteria en Puerto Nariño-Amazonas. _x000d__x000a_10.Taller Escuela en atarrayas tejidas a mano en la montañita en caqueta. _x000d__x000a_11.Taller Escuela en producción grafica  en Cali- valle del Cauca. _x000d__x000a_12.Taller Escuela en Violines Caucanos en Patia- Cauca. _x000d__x000a_13.Taller Escuela en marimba de chonta en Guapi  Cauca.  _x000d__x000a_14.Taller Escuela en viche  en Tumaco. _x000d__x000a_15.Taller Escuela en tejido telar vertical  en san Jacinto Bolivar _x000d__x000a_Se implementaron  seis (6) talleres escuela en oficios tradicionales en Guapi, Timbiqui, Lopez de Micay,Villa Garzon,  Puerto Asis,Tumaco"/>
    <d v="2019-12-31T15:44:02"/>
    <x v="2"/>
    <x v="1"/>
  </r>
  <r>
    <x v="0"/>
    <x v="5"/>
    <x v="5"/>
    <x v="20"/>
    <x v="20"/>
    <x v="52"/>
    <x v="52"/>
    <n v="55"/>
    <s v="Número"/>
    <n v="55"/>
    <s v="El 7 de noviembre se presentó ante Consejo Nacional de Patrimonio Cultural, el Plan Especial de Manejo y Protección - PEMP de Concepción en Antioquia, el cual tuvo concepto favorable. Actualmente, se encuentra en elaboración el borrador de la resolución de aprobación._x000d__x000a__x000d__x000a_El 6 de diciembre se presentó ante el Consejo Nacional de Patrimonio Cultural el PEMP de Mongui en Boyacá, el cual tuvo concepto favorable. Actualmente, se encuentra en elaboración el borrador de la resolución de aprobación. _x000d__x000a__x000d__x000a_Cumpliendo así con la meta establecida para la vigencia."/>
    <d v="2019-12-31T15:55:23"/>
    <x v="2"/>
    <x v="1"/>
  </r>
  <r>
    <x v="0"/>
    <x v="5"/>
    <x v="5"/>
    <x v="20"/>
    <x v="20"/>
    <x v="53"/>
    <x v="53"/>
    <n v="67"/>
    <s v="Número"/>
    <n v="67"/>
    <s v="En la vigencia 2019 se intervinieron 6 obras las cuales se relacionan a continuación:_x000d__x000a_1. Intervención de la Hacienda Cañas Gordas (100%) _x000d__x000a_2. Intervención al Monumento Los Lanceros de Rondón Pantano de Vargas, Paipa Boyacá (100%)._x000d__x000a_3. Restauración de los monumentos del Puente de Boyacá: El Obelisco y el Monumento al Libertador (100%) _x000d__x000a_4. Restauración de la capilla de Nuestra Señora de las Mercedes en el Centro Histórico de Salamina Caldas (100%)._x000d__x000a_5. Casa Eduardo Santos, Tunja Boyacá (100%)._x000d__x000a_6. Restauración integral de las ruinas del inmueble ubicado en la carrera 7 n°. 6B-30 /fragmentos (100%)._x000d__x000a_Cumpliendo así con la meta establecida para la vigencia."/>
    <d v="2019-12-31T15:57:14"/>
    <x v="2"/>
    <x v="1"/>
  </r>
  <r>
    <x v="12"/>
    <x v="6"/>
    <x v="6"/>
    <x v="21"/>
    <x v="21"/>
    <x v="54"/>
    <x v="54"/>
    <n v="150"/>
    <s v="Número"/>
    <n v="150"/>
    <s v="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_x000a_Cumpliendo con el indicador en un 100%."/>
    <d v="2019-12-31T11:12:31"/>
    <x v="2"/>
    <x v="1"/>
  </r>
  <r>
    <x v="15"/>
    <x v="6"/>
    <x v="6"/>
    <x v="21"/>
    <x v="21"/>
    <x v="55"/>
    <x v="55"/>
    <n v="8"/>
    <s v="Número"/>
    <n v="8"/>
    <s v="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_x000a_Por otra parte se acordó con las bibliotecas públicas de Susa y  Baranoa la utilización de la exposición, la sala y la maleta viajera a partir de noviembre hasta el año 2020."/>
    <d v="2019-07-08T11:48:18"/>
    <x v="2"/>
    <x v="1"/>
  </r>
  <r>
    <x v="16"/>
    <x v="6"/>
    <x v="6"/>
    <x v="22"/>
    <x v="22"/>
    <x v="56"/>
    <x v="56"/>
    <n v="4350"/>
    <s v="Número"/>
    <n v="4350"/>
    <s v="Con corte a Diciembre 31 de 2019, se apoyaron a través del PNCC 4.350 proyectos y actividades culturales. De los 4.350 proyectos y actividades culturales:_x000d__x000a_* 2.138 se apoyaron mediante convocatoria pública por las siguientes líneas de acción: _x000d__x000a_L1 Leer es mi cuento, 72 proyectos; _x000d__x000a_L2 Actividades artísticas y culturales de duración limitada, 773 proyectos;_x000d__x000a_L3 Fortalecimiento de espacios culturales, 205 proyectos;_x000d__x000a_L4 Programas de formación artística y cultural, 742 proyectos; _x000d__x000a_L5 Emprendimiento cultural, 53 proyectos;_x000d__x000a_L6 Circulación artística a escala nacional, 72 proyectos; _x000d__x000a_L7 Fortalecimiento cultural a contextos poblacionales específicos, 175 proyectos y,_x000d__x000a_L8 Igualdad de oportunidades culturales para la población en situación de discapacidad, 46 proyectos._x000d__x000a_* 100 Salas concertadas_x000d__x000a_* y 62 proyectos y actividades artísticas, en: Ant. 9, Atlan. 1, San Andrés 1,  Btá. 14, Bol. 3, Cal. 2, Cau. 1, Cho. 2, Cund. 3, Huila 4, Internal. 1, Nal. 7, Nariño 1, Nte. Sant. 1, Sant. 2, Tol. 1 y Valle 9._x000d__x000a_* 2.050 corresponden a la línea base del indicador."/>
    <d v="2019-12-31T14:50:28"/>
    <x v="2"/>
    <x v="1"/>
  </r>
  <r>
    <x v="16"/>
    <x v="6"/>
    <x v="6"/>
    <x v="22"/>
    <x v="22"/>
    <x v="57"/>
    <x v="57"/>
    <n v="20"/>
    <s v="Número"/>
    <n v="20"/>
    <s v="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_x000a__x000d__x000a_Dirección de Artes: 316_x000d__x000a_Dirección de Cinematografía: 10_x000d__x000a_Dirección de Patrimonio: 13_x000d__x000a_Dirección de Poblaciones: 13_x000d__x000a_Dirección de Comunicaciones: 12_x000d__x000a_Dirección de Fomento Regional: 59_x000d__x000a_Museo Nacional: 5_x000d__x000a__x000d__x000a_Para un total de: 428"/>
    <d v="2019-12-31T15:04:30"/>
    <x v="2"/>
    <x v="0"/>
  </r>
  <r>
    <x v="17"/>
    <x v="6"/>
    <x v="6"/>
    <x v="22"/>
    <x v="22"/>
    <x v="58"/>
    <x v="58"/>
    <n v="1945"/>
    <s v="Número"/>
    <n v="1801"/>
    <s v="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_x000a_Dado que hubo convocatorias declaradas desiertas, por ausencia de proponentes, por incumplimiento de requisitos y la no delegación de ganadores suplentes; no fue posible cumplir con la meta establecida para el año 2019, quedando pendiente por otorgar 144 estímulos (meta rezagada)."/>
    <d v="2019-12-31T11:46:03"/>
    <x v="20"/>
    <x v="1"/>
  </r>
  <r>
    <x v="17"/>
    <x v="6"/>
    <x v="6"/>
    <x v="22"/>
    <x v="22"/>
    <x v="59"/>
    <x v="59"/>
    <n v="100"/>
    <s v="Número"/>
    <n v="102"/>
    <s v="Al cierre de la vigencia 2019, el número de estímulos otorgados por el PNE, priorizados con seguimiento fue de 102."/>
    <d v="2019-12-31T11:47:12"/>
    <x v="21"/>
    <x v="0"/>
  </r>
  <r>
    <x v="0"/>
    <x v="6"/>
    <x v="6"/>
    <x v="23"/>
    <x v="23"/>
    <x v="60"/>
    <x v="60"/>
    <n v="1"/>
    <s v="Número"/>
    <n v="1"/>
    <s v="Para el 2019, se creó la escuela taller naranja y va a estar ubicada en cartagena bolívar quien se encuentra adelantando los procedimientos para la comercializacion con las demas escuelas taller._x000d__x000a_Con esta creación se cumple la meta establecida para el 2019"/>
    <d v="2019-12-31T16:00:49"/>
    <x v="2"/>
    <x v="0"/>
  </r>
  <r>
    <x v="0"/>
    <x v="6"/>
    <x v="6"/>
    <x v="23"/>
    <x v="23"/>
    <x v="61"/>
    <x v="61"/>
    <n v="1"/>
    <s v="Número"/>
    <n v="1"/>
    <s v="En el marco del mes de diciembre se realizaron las siguientes actividades: _x000d__x000a__x000d__x000a_-   En el Baluarte de San José se desarrollaron talleres para los aprendices de cocinas de la Escuela Taller, con chefs invitados sobre cocina internacional, y con matronas sobre cocina tradicional. _x000d__x000a__x000d__x000a_Con el desarrollo de la unidad de negocio de cocinas tradicionales internacionales en el baluarte de san jose, se cumple con la meta establecida para el 2019."/>
    <d v="2019-12-31T16:04:00"/>
    <x v="2"/>
    <x v="0"/>
  </r>
  <r>
    <x v="3"/>
    <x v="6"/>
    <x v="6"/>
    <x v="23"/>
    <x v="23"/>
    <x v="62"/>
    <x v="62"/>
    <n v="60"/>
    <s v="Número"/>
    <n v="60"/>
    <s v="El 23 de diciembre finalizan las actividades relacionadas con el convenio 2981-19 con la Corporación Interactuar y se entregan los siguientes productos:_x000d__x000a_- Programa para el fortalecimiento de habilidades gerenciales de emprendedores culturales diseñado_x000d__x000a_- Caracterización de los emprendedores participantes en la implementación del programa._x000d__x000a_-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_x000a_-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_x000a__x000d__x000a_Con lo anterior se realiza la liquidación del convenio beneficiando a un total de 60 participantes en materia de asistencia técnica"/>
    <d v="2019-12-31T15:49:15"/>
    <x v="2"/>
    <x v="0"/>
  </r>
  <r>
    <x v="3"/>
    <x v="6"/>
    <x v="6"/>
    <x v="23"/>
    <x v="23"/>
    <x v="63"/>
    <x v="63"/>
    <n v="50"/>
    <s v="Número"/>
    <n v="373"/>
    <s v=" A 31 de octubre se crearon 498 usuarios en la plataforma economianaranja.gov.co, de los cuales 339 enviaron la _x000d__x000a_1. A 31 de octubre se crearon 498 usuarios en la plataforma www.,economianaranja.gov.co, de los cuales 339 enviaron la documentación necesaria para aplicar al beneficio de rentas exentas por siete años. A 24 de diciembre se evaluaron 339 proyectos. _x000d__x000a_Hasta el momento, 24/12/2019, se han atendido las siguientes solicitudes con relación al Beneficio de Rentas Exentas:_x000d__x000a_en info-economianaranja.gov.co:  10 consultas_x000d__x000a_Vía telefónica: 250_x000d__x000a_PQR: 0_x000d__x000a_Presencial: 2_x000d__x000a__x000d__x000a_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_x000a__x000d__x000a_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_x000a__x000d__x000a_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
    <d v="2019-12-31T15:49:25"/>
    <x v="22"/>
    <x v="0"/>
  </r>
  <r>
    <x v="18"/>
    <x v="7"/>
    <x v="7"/>
    <x v="24"/>
    <x v="24"/>
    <x v="64"/>
    <x v="64"/>
    <n v="60"/>
    <s v="Número"/>
    <n v="60"/>
    <s v="Se realizo un diagnostico por cada Subsistemas para ver su avance con respectos a las normas que los rigen encontrando el siguiente estado:_x000d__x000a_•_x0009_Sistema de Gestión de Calidad ISO 9001:2015: 100%_x000d__x000a_•_x0009_Sistema de Gestión Ambiental ISO 14001:2015: 74%_x000d__x000a_•_x0009_Sistema de Gestión Seguridad de la Información ISO 27001:2013: 57% Controles: 47%_x000d__x000a_•_x0009_Sistema de Gestión Salud y Seguridad en el Trabajo Dec.1072 Resol. 0312: 85%_x000d__x000a__x000d__x000a__x000d__x000a_Con base en este esquema se estableció un plan  de integración el cual se encuentra en un 60% de ejecución de acuerdo con los diagnósticos de cada subsistema y las actividades planificadas para cada uno de los mismos a 31 de diciembre de 2019._x000d__x000a__x000d__x000a__x000d__x000a_"/>
    <d v="2019-12-31T18:36:26"/>
    <x v="2"/>
    <x v="0"/>
  </r>
  <r>
    <x v="18"/>
    <x v="7"/>
    <x v="7"/>
    <x v="25"/>
    <x v="25"/>
    <x v="65"/>
    <x v="65"/>
    <n v="43"/>
    <s v="Número"/>
    <n v="43"/>
    <s v="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_x000a__x000d__x000a_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_x000a_"/>
    <d v="2019-12-31T18:38:12"/>
    <x v="2"/>
    <x v="0"/>
  </r>
  <r>
    <x v="19"/>
    <x v="7"/>
    <x v="7"/>
    <x v="26"/>
    <x v="26"/>
    <x v="66"/>
    <x v="66"/>
    <n v="100"/>
    <s v="Número"/>
    <n v="99"/>
    <s v="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
    <d v="2019-10-22T15:21:56"/>
    <x v="23"/>
    <x v="0"/>
  </r>
  <r>
    <x v="20"/>
    <x v="7"/>
    <x v="7"/>
    <x v="27"/>
    <x v="27"/>
    <x v="67"/>
    <x v="67"/>
    <n v="91"/>
    <s v="Porcentaje"/>
    <n v="91"/>
    <s v="El Ministerio cuenta con los equipos apropiados para realizar sus actividades "/>
    <d v="2019-11-05T16:42:35"/>
    <x v="2"/>
    <x v="0"/>
  </r>
  <r>
    <x v="4"/>
    <x v="7"/>
    <x v="7"/>
    <x v="28"/>
    <x v="28"/>
    <x v="68"/>
    <x v="68"/>
    <n v="78"/>
    <s v="Porcentaje"/>
    <n v="89.66"/>
    <s v="El porcentaje corresponde a 29 decisiones de las cuales 26 han sido a favor de la entidad y 3 en contra. "/>
    <d v="2019-12-31T10:48:49"/>
    <x v="24"/>
    <x v="0"/>
  </r>
  <r>
    <x v="21"/>
    <x v="7"/>
    <x v="7"/>
    <x v="29"/>
    <x v="29"/>
    <x v="69"/>
    <x v="69"/>
    <n v="2"/>
    <s v="Número"/>
    <n v="2"/>
    <s v="El Ministerio de Cultura cuenta con con los siguientes instrumentos archivísticos actualizados y publicados en la página web de la entidad: Programa de Gestión Documental  y Banco Terminológico de Series y Subseries Documentales."/>
    <d v="2019-12-31T11:03:17"/>
    <x v="2"/>
    <x v="0"/>
  </r>
  <r>
    <x v="18"/>
    <x v="7"/>
    <x v="7"/>
    <x v="30"/>
    <x v="30"/>
    <x v="70"/>
    <x v="70"/>
    <n v="100"/>
    <s v="Número"/>
    <n v="100"/>
    <s v="Se realizo el seguimiento y monitoreo de las actividades establecidas en el Plan Anticorrupción y de Atención al ciudadano, a través del registro de los avances a 31 de diciembre de los cinco componentes de acuerdo con la evidencia suministrada por los responsables._x000d__x000a_En el seguimiento realizado se pudo evidenciar el siguiente avance en cada uno de los componentes: _x000d__x000a_1._x0009_Mapa de Riesgos de Corrupción 100%_x000d__x000a_2._x0009_Estrategias de Racionalización 58%_x000d__x000a_3._x0009_Rendición de Cuentas en 100%_x000d__x000a_4._x0009_Servicio al ciudadano en un 83% _x000d__x000a_5._x0009_Transparencia. 100%_x000d__x000a__x000d__x000a_Esta información se envió a la Oficina de Control Interno para su evaluación y publicación. _x000d__x000a_"/>
    <d v="2019-12-31T18:32:16"/>
    <x v="2"/>
    <x v="0"/>
  </r>
  <r>
    <x v="22"/>
    <x v="7"/>
    <x v="7"/>
    <x v="31"/>
    <x v="31"/>
    <x v="71"/>
    <x v="71"/>
    <n v="90"/>
    <s v="Porcentaje"/>
    <n v="94"/>
    <s v="Se ejecutaron cuarenta y siete (47) eventos de formación de los cuarenta y cinco (45) que estaban programados dentro del Plan Institucional de Capacitación para la presente vigencia. _x000d__x000a__x000d__x000a_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
    <d v="2019-12-31T16:39:27"/>
    <x v="25"/>
    <x v="0"/>
  </r>
  <r>
    <x v="22"/>
    <x v="7"/>
    <x v="7"/>
    <x v="31"/>
    <x v="31"/>
    <x v="72"/>
    <x v="72"/>
    <n v="80"/>
    <s v="Número"/>
    <n v="94"/>
    <s v="El 94% de los participantes califico en nivel alto y muy alto los procesos de formación ejecutados y evaluados a la fecha de corte."/>
    <d v="2019-12-31T16:43:17"/>
    <x v="26"/>
    <x v="0"/>
  </r>
  <r>
    <x v="23"/>
    <x v="7"/>
    <x v="7"/>
    <x v="32"/>
    <x v="32"/>
    <x v="73"/>
    <x v="73"/>
    <n v="90.8"/>
    <s v="Porcentaje"/>
    <n v="96"/>
    <s v="Se toma la información del informe de ejecución presupuestal generado en el Sistema de Información Financiera SIIF con corte a 31 de diciembre"/>
    <d v="2019-12-31T16:02:35"/>
    <x v="27"/>
    <x v="0"/>
  </r>
  <r>
    <x v="18"/>
    <x v="7"/>
    <x v="7"/>
    <x v="32"/>
    <x v="32"/>
    <x v="74"/>
    <x v="74"/>
    <n v="100"/>
    <s v="Número"/>
    <n v="100"/>
    <s v="Se realizó el 100% del seguimiento al plan, con el reportes de cierre de ejecución de las metas 2019 del Pla Estrategico institucional."/>
    <d v="2019-12-31T12:05:08"/>
    <x v="2"/>
    <x v="0"/>
  </r>
  <r>
    <x v="24"/>
    <x v="7"/>
    <x v="7"/>
    <x v="32"/>
    <x v="32"/>
    <x v="75"/>
    <x v="75"/>
    <n v="10"/>
    <s v="Porcentaje"/>
    <n v="9"/>
    <s v="El porcentaje de reducción en gastos de logística va en 2.53%, tiquetes el 5.53% y el de viáticos el 20%."/>
    <d v="2019-10-30T15:11:09"/>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8BFA13-74D8-4B01-B1A7-357FC7BBE1F7}" name="TablaDinámica2" cacheId="0" applyNumberFormats="0" applyBorderFormats="0" applyFontFormats="0" applyPatternFormats="0" applyAlignmentFormats="0" applyWidthHeightFormats="1" dataCaption="Valores" missingCaption="0" updatedVersion="6" minRefreshableVersion="3" itemPrintTitles="1" createdVersion="6" indent="0" compact="0" compactData="0" multipleFieldFilters="0">
  <location ref="A1:G78" firstHeaderRow="0" firstDataRow="1" firstDataCol="4"/>
  <pivotFields count="14">
    <pivotField axis="axisRow" compact="0" outline="0" subtotalTop="0" showAll="0" defaultSubtotal="0">
      <items count="25">
        <item x="12"/>
        <item x="1"/>
        <item x="8"/>
        <item x="9"/>
        <item x="6"/>
        <item x="0"/>
        <item x="2"/>
        <item x="5"/>
        <item x="3"/>
        <item x="20"/>
        <item x="7"/>
        <item x="21"/>
        <item x="23"/>
        <item x="22"/>
        <item x="14"/>
        <item x="13"/>
        <item x="11"/>
        <item x="16"/>
        <item x="17"/>
        <item x="15"/>
        <item x="18"/>
        <item x="4"/>
        <item x="19"/>
        <item x="24"/>
        <item x="10"/>
      </items>
    </pivotField>
    <pivotField axis="axisRow" compact="0" outline="0" subtotalTop="0" showAll="0" defaultSubtotal="0">
      <items count="8">
        <item x="0"/>
        <item x="1"/>
        <item x="2"/>
        <item x="3"/>
        <item x="4"/>
        <item x="5"/>
        <item x="6"/>
        <item x="7"/>
      </items>
    </pivotField>
    <pivotField compact="0" outline="0" subtotalTop="0" showAll="0" defaultSubtotal="0">
      <items count="8">
        <item x="2"/>
        <item x="3"/>
        <item x="0"/>
        <item x="7"/>
        <item x="4"/>
        <item x="5"/>
        <item x="6"/>
        <item x="1"/>
      </items>
    </pivotField>
    <pivotField axis="axisRow" compact="0" outline="0" subtotalTop="0" showAll="0" defaultSubtotal="0">
      <items count="33">
        <item x="1"/>
        <item x="0"/>
        <item x="2"/>
        <item x="4"/>
        <item x="3"/>
        <item x="6"/>
        <item x="7"/>
        <item x="5"/>
        <item x="11"/>
        <item x="8"/>
        <item x="10"/>
        <item x="9"/>
        <item x="12"/>
        <item x="13"/>
        <item x="15"/>
        <item x="14"/>
        <item x="19"/>
        <item x="16"/>
        <item x="20"/>
        <item x="17"/>
        <item x="22"/>
        <item x="23"/>
        <item x="18"/>
        <item x="21"/>
        <item x="32"/>
        <item x="25"/>
        <item x="24"/>
        <item x="26"/>
        <item x="30"/>
        <item x="31"/>
        <item x="27"/>
        <item x="29"/>
        <item x="28"/>
      </items>
    </pivotField>
    <pivotField compact="0" outline="0" subtotalTop="0" showAll="0" defaultSubtotal="0">
      <items count="33">
        <item x="24"/>
        <item x="25"/>
        <item x="3"/>
        <item x="14"/>
        <item x="15"/>
        <item x="8"/>
        <item x="0"/>
        <item x="1"/>
        <item x="26"/>
        <item x="27"/>
        <item x="16"/>
        <item x="4"/>
        <item x="28"/>
        <item x="29"/>
        <item x="30"/>
        <item x="31"/>
        <item x="5"/>
        <item x="6"/>
        <item x="22"/>
        <item x="17"/>
        <item x="23"/>
        <item x="9"/>
        <item x="10"/>
        <item x="2"/>
        <item x="18"/>
        <item x="11"/>
        <item x="32"/>
        <item x="19"/>
        <item x="20"/>
        <item x="21"/>
        <item x="7"/>
        <item x="12"/>
        <item x="13"/>
      </items>
    </pivotField>
    <pivotField axis="axisRow" compact="0" outline="0" subtotalTop="0" showAll="0" defaultSubtotal="0">
      <items count="76">
        <item x="5"/>
        <item x="6"/>
        <item x="0"/>
        <item x="1"/>
        <item x="2"/>
        <item x="3"/>
        <item x="4"/>
        <item x="8"/>
        <item x="10"/>
        <item x="11"/>
        <item x="12"/>
        <item x="9"/>
        <item x="14"/>
        <item x="15"/>
        <item x="17"/>
        <item x="18"/>
        <item x="13"/>
        <item x="29"/>
        <item x="30"/>
        <item x="31"/>
        <item x="32"/>
        <item x="33"/>
        <item x="19"/>
        <item x="20"/>
        <item x="21"/>
        <item x="22"/>
        <item x="23"/>
        <item x="28"/>
        <item x="25"/>
        <item x="26"/>
        <item x="27"/>
        <item x="34"/>
        <item x="35"/>
        <item x="36"/>
        <item x="40"/>
        <item x="41"/>
        <item x="42"/>
        <item x="37"/>
        <item x="50"/>
        <item x="51"/>
        <item x="44"/>
        <item x="45"/>
        <item x="46"/>
        <item x="52"/>
        <item x="53"/>
        <item x="47"/>
        <item x="56"/>
        <item x="57"/>
        <item x="58"/>
        <item x="59"/>
        <item x="60"/>
        <item x="61"/>
        <item x="62"/>
        <item x="54"/>
        <item x="55"/>
        <item x="73"/>
        <item x="74"/>
        <item x="75"/>
        <item x="70"/>
        <item x="64"/>
        <item x="66"/>
        <item x="65"/>
        <item x="71"/>
        <item x="72"/>
        <item x="67"/>
        <item x="69"/>
        <item x="68"/>
        <item x="16"/>
        <item x="38"/>
        <item x="48"/>
        <item x="7"/>
        <item x="63"/>
        <item x="24"/>
        <item x="43"/>
        <item x="39"/>
        <item x="49"/>
      </items>
    </pivotField>
    <pivotField compact="0" outline="0" subtotalTop="0" showAll="0" defaultSubtotal="0">
      <items count="76">
        <item x="18"/>
        <item x="54"/>
        <item x="52"/>
        <item x="67"/>
        <item x="38"/>
        <item x="37"/>
        <item x="23"/>
        <item x="15"/>
        <item x="26"/>
        <item x="11"/>
        <item x="9"/>
        <item x="66"/>
        <item x="41"/>
        <item x="4"/>
        <item x="49"/>
        <item x="45"/>
        <item x="62"/>
        <item x="63"/>
        <item x="10"/>
        <item x="33"/>
        <item x="12"/>
        <item x="60"/>
        <item x="50"/>
        <item x="42"/>
        <item x="58"/>
        <item x="59"/>
        <item x="27"/>
        <item x="40"/>
        <item x="6"/>
        <item x="69"/>
        <item x="34"/>
        <item x="31"/>
        <item x="44"/>
        <item x="7"/>
        <item x="13"/>
        <item x="22"/>
        <item x="14"/>
        <item x="43"/>
        <item x="21"/>
        <item x="71"/>
        <item x="65"/>
        <item x="64"/>
        <item x="72"/>
        <item x="25"/>
        <item x="39"/>
        <item x="20"/>
        <item x="16"/>
        <item x="24"/>
        <item x="1"/>
        <item x="3"/>
        <item x="47"/>
        <item x="48"/>
        <item x="2"/>
        <item x="73"/>
        <item x="68"/>
        <item x="75"/>
        <item x="29"/>
        <item x="30"/>
        <item x="5"/>
        <item x="57"/>
        <item x="36"/>
        <item x="56"/>
        <item x="46"/>
        <item x="8"/>
        <item x="51"/>
        <item x="0"/>
        <item x="61"/>
        <item x="32"/>
        <item x="35"/>
        <item x="28"/>
        <item x="17"/>
        <item x="19"/>
        <item x="53"/>
        <item x="55"/>
        <item x="70"/>
        <item x="74"/>
      </items>
    </pivotField>
    <pivotField dataField="1" compact="0" numFmtId="3" outline="0" subtotalTop="0" multipleItemSelectionAllowed="1"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dataField="1" compact="0" numFmtId="9" outline="0" subtotalTop="0" multipleItemSelectionAllowed="1" showAll="0" defaultSubtotal="0"/>
    <pivotField compact="0" outline="0" subtotalTop="0" showAll="0" defaultSubtotal="0">
      <items count="2">
        <item x="1"/>
        <item x="0"/>
      </items>
    </pivotField>
  </pivotFields>
  <rowFields count="4">
    <field x="1"/>
    <field x="3"/>
    <field x="5"/>
    <field x="0"/>
  </rowFields>
  <rowItems count="77">
    <i>
      <x/>
      <x/>
      <x/>
      <x v="21"/>
    </i>
    <i r="2">
      <x v="1"/>
      <x v="21"/>
    </i>
    <i r="2">
      <x v="70"/>
      <x v="8"/>
    </i>
    <i r="1">
      <x v="1"/>
      <x v="2"/>
      <x v="5"/>
    </i>
    <i r="2">
      <x v="3"/>
      <x v="5"/>
    </i>
    <i r="2">
      <x v="4"/>
      <x v="1"/>
    </i>
    <i r="2">
      <x v="5"/>
      <x v="6"/>
    </i>
    <i r="2">
      <x v="6"/>
      <x v="8"/>
    </i>
    <i r="1">
      <x v="2"/>
      <x v="7"/>
      <x v="8"/>
    </i>
    <i>
      <x v="1"/>
      <x v="3"/>
      <x v="8"/>
      <x v="4"/>
    </i>
    <i r="2">
      <x v="9"/>
      <x v="4"/>
    </i>
    <i r="2">
      <x v="10"/>
      <x v="4"/>
    </i>
    <i r="1">
      <x v="4"/>
      <x v="11"/>
      <x v="7"/>
    </i>
    <i r="1">
      <x v="5"/>
      <x v="12"/>
      <x v="10"/>
    </i>
    <i r="2">
      <x v="13"/>
      <x v="10"/>
    </i>
    <i r="2">
      <x v="67"/>
      <x v="7"/>
    </i>
    <i r="1">
      <x v="6"/>
      <x v="14"/>
      <x v="8"/>
    </i>
    <i r="2">
      <x v="15"/>
      <x v="8"/>
    </i>
    <i r="1">
      <x v="7"/>
      <x v="16"/>
      <x v="6"/>
    </i>
    <i>
      <x v="2"/>
      <x v="8"/>
      <x v="17"/>
      <x/>
    </i>
    <i r="2">
      <x v="18"/>
      <x/>
    </i>
    <i r="2">
      <x v="19"/>
      <x/>
    </i>
    <i r="2">
      <x v="20"/>
      <x v="1"/>
    </i>
    <i r="2">
      <x v="21"/>
      <x/>
    </i>
    <i r="1">
      <x v="9"/>
      <x v="22"/>
      <x v="5"/>
    </i>
    <i r="2">
      <x v="23"/>
      <x v="1"/>
    </i>
    <i r="2">
      <x v="24"/>
      <x v="1"/>
    </i>
    <i r="2">
      <x v="25"/>
      <x v="2"/>
    </i>
    <i r="2">
      <x v="26"/>
      <x v="3"/>
    </i>
    <i r="2">
      <x v="72"/>
      <x v="7"/>
    </i>
    <i r="1">
      <x v="10"/>
      <x v="27"/>
      <x v="2"/>
    </i>
    <i r="1">
      <x v="11"/>
      <x v="28"/>
      <x v="3"/>
    </i>
    <i r="2">
      <x v="29"/>
      <x v="24"/>
    </i>
    <i r="2">
      <x v="30"/>
      <x v="16"/>
    </i>
    <i>
      <x v="3"/>
      <x v="12"/>
      <x v="31"/>
      <x v="8"/>
    </i>
    <i r="1">
      <x v="13"/>
      <x v="32"/>
      <x v="15"/>
    </i>
    <i r="2">
      <x v="33"/>
      <x v="4"/>
    </i>
    <i>
      <x v="4"/>
      <x v="14"/>
      <x v="34"/>
      <x v="14"/>
    </i>
    <i r="2">
      <x v="35"/>
      <x v="19"/>
    </i>
    <i r="2">
      <x v="36"/>
      <x v="19"/>
    </i>
    <i r="2">
      <x v="73"/>
      <x v="7"/>
    </i>
    <i r="1">
      <x v="15"/>
      <x v="37"/>
      <x v="1"/>
    </i>
    <i r="2">
      <x v="68"/>
      <x v="7"/>
    </i>
    <i r="2">
      <x v="74"/>
      <x v="1"/>
    </i>
    <i>
      <x v="5"/>
      <x v="16"/>
      <x v="38"/>
      <x v="5"/>
    </i>
    <i r="2">
      <x v="39"/>
      <x v="5"/>
    </i>
    <i r="1">
      <x v="17"/>
      <x v="40"/>
      <x v="5"/>
    </i>
    <i r="2">
      <x v="41"/>
      <x v="5"/>
    </i>
    <i r="2">
      <x v="42"/>
      <x v="1"/>
    </i>
    <i r="1">
      <x v="18"/>
      <x v="43"/>
      <x v="5"/>
    </i>
    <i r="2">
      <x v="44"/>
      <x v="5"/>
    </i>
    <i r="1">
      <x v="19"/>
      <x v="45"/>
      <x v="19"/>
    </i>
    <i r="1">
      <x v="22"/>
      <x v="69"/>
      <x v="7"/>
    </i>
    <i r="2">
      <x v="75"/>
      <x v="1"/>
    </i>
    <i>
      <x v="6"/>
      <x v="20"/>
      <x v="46"/>
      <x v="17"/>
    </i>
    <i r="2">
      <x v="47"/>
      <x v="17"/>
    </i>
    <i r="2">
      <x v="48"/>
      <x v="18"/>
    </i>
    <i r="2">
      <x v="49"/>
      <x v="18"/>
    </i>
    <i r="1">
      <x v="21"/>
      <x v="50"/>
      <x v="5"/>
    </i>
    <i r="2">
      <x v="51"/>
      <x v="5"/>
    </i>
    <i r="2">
      <x v="52"/>
      <x v="8"/>
    </i>
    <i r="2">
      <x v="71"/>
      <x v="8"/>
    </i>
    <i r="1">
      <x v="23"/>
      <x v="53"/>
      <x/>
    </i>
    <i r="2">
      <x v="54"/>
      <x v="19"/>
    </i>
    <i>
      <x v="7"/>
      <x v="24"/>
      <x v="55"/>
      <x v="12"/>
    </i>
    <i r="2">
      <x v="56"/>
      <x v="20"/>
    </i>
    <i r="2">
      <x v="57"/>
      <x v="23"/>
    </i>
    <i r="1">
      <x v="25"/>
      <x v="61"/>
      <x v="20"/>
    </i>
    <i r="1">
      <x v="26"/>
      <x v="59"/>
      <x v="20"/>
    </i>
    <i r="1">
      <x v="27"/>
      <x v="60"/>
      <x v="22"/>
    </i>
    <i r="1">
      <x v="28"/>
      <x v="58"/>
      <x v="20"/>
    </i>
    <i r="1">
      <x v="29"/>
      <x v="62"/>
      <x v="13"/>
    </i>
    <i r="2">
      <x v="63"/>
      <x v="13"/>
    </i>
    <i r="1">
      <x v="30"/>
      <x v="64"/>
      <x v="9"/>
    </i>
    <i r="1">
      <x v="31"/>
      <x v="65"/>
      <x v="11"/>
    </i>
    <i r="1">
      <x v="32"/>
      <x v="66"/>
      <x v="21"/>
    </i>
    <i t="grand">
      <x/>
    </i>
  </rowItems>
  <colFields count="1">
    <field x="-2"/>
  </colFields>
  <colItems count="3">
    <i>
      <x/>
    </i>
    <i i="1">
      <x v="1"/>
    </i>
    <i i="2">
      <x v="2"/>
    </i>
  </colItems>
  <dataFields count="3">
    <dataField name="Meta_19" fld="7" baseField="13" baseItem="0" numFmtId="3"/>
    <dataField name="Avan_19" fld="9" baseField="13" baseItem="0" numFmtId="3"/>
    <dataField name="% Avance" fld="12" subtotal="average" baseField="13" baseItem="0" numFmtId="10"/>
  </dataFields>
  <formats count="32">
    <format dxfId="32">
      <pivotArea outline="0" fieldPosition="0">
        <references count="1">
          <reference field="4294967294" count="1">
            <x v="2"/>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 dxfId="29">
      <pivotArea field="13" type="button" dataOnly="0" labelOnly="1" outline="0"/>
    </format>
    <format dxfId="28">
      <pivotArea dataOnly="0" labelOnly="1" outline="0" fieldPosition="0">
        <references count="1">
          <reference field="0" count="1" defaultSubtotal="1">
            <x v="0"/>
          </reference>
        </references>
      </pivotArea>
    </format>
    <format dxfId="27">
      <pivotArea dataOnly="0" labelOnly="1" outline="0" fieldPosition="0">
        <references count="1">
          <reference field="0" count="1" defaultSubtotal="1">
            <x v="1"/>
          </reference>
        </references>
      </pivotArea>
    </format>
    <format dxfId="26">
      <pivotArea dataOnly="0" labelOnly="1" outline="0" fieldPosition="0">
        <references count="1">
          <reference field="0" count="1" defaultSubtotal="1">
            <x v="2"/>
          </reference>
        </references>
      </pivotArea>
    </format>
    <format dxfId="25">
      <pivotArea dataOnly="0" labelOnly="1" outline="0" fieldPosition="0">
        <references count="1">
          <reference field="0" count="1" defaultSubtotal="1">
            <x v="3"/>
          </reference>
        </references>
      </pivotArea>
    </format>
    <format dxfId="24">
      <pivotArea dataOnly="0" labelOnly="1" outline="0" fieldPosition="0">
        <references count="1">
          <reference field="0" count="1" defaultSubtotal="1">
            <x v="4"/>
          </reference>
        </references>
      </pivotArea>
    </format>
    <format dxfId="23">
      <pivotArea dataOnly="0" labelOnly="1" outline="0" fieldPosition="0">
        <references count="1">
          <reference field="0" count="1" defaultSubtotal="1">
            <x v="5"/>
          </reference>
        </references>
      </pivotArea>
    </format>
    <format dxfId="22">
      <pivotArea dataOnly="0" labelOnly="1" outline="0" fieldPosition="0">
        <references count="1">
          <reference field="0" count="1" defaultSubtotal="1">
            <x v="6"/>
          </reference>
        </references>
      </pivotArea>
    </format>
    <format dxfId="21">
      <pivotArea dataOnly="0" labelOnly="1" outline="0" fieldPosition="0">
        <references count="1">
          <reference field="0" count="1" defaultSubtotal="1">
            <x v="7"/>
          </reference>
        </references>
      </pivotArea>
    </format>
    <format dxfId="20">
      <pivotArea dataOnly="0" labelOnly="1" outline="0" fieldPosition="0">
        <references count="1">
          <reference field="0" count="1" defaultSubtotal="1">
            <x v="8"/>
          </reference>
        </references>
      </pivotArea>
    </format>
    <format dxfId="19">
      <pivotArea dataOnly="0" labelOnly="1" outline="0" fieldPosition="0">
        <references count="1">
          <reference field="0" count="1" defaultSubtotal="1">
            <x v="9"/>
          </reference>
        </references>
      </pivotArea>
    </format>
    <format dxfId="18">
      <pivotArea dataOnly="0" labelOnly="1" outline="0" fieldPosition="0">
        <references count="1">
          <reference field="0" count="1" defaultSubtotal="1">
            <x v="10"/>
          </reference>
        </references>
      </pivotArea>
    </format>
    <format dxfId="17">
      <pivotArea dataOnly="0" labelOnly="1" outline="0" fieldPosition="0">
        <references count="1">
          <reference field="0" count="1" defaultSubtotal="1">
            <x v="11"/>
          </reference>
        </references>
      </pivotArea>
    </format>
    <format dxfId="16">
      <pivotArea dataOnly="0" labelOnly="1" outline="0" fieldPosition="0">
        <references count="1">
          <reference field="0" count="1" defaultSubtotal="1">
            <x v="12"/>
          </reference>
        </references>
      </pivotArea>
    </format>
    <format dxfId="15">
      <pivotArea dataOnly="0" labelOnly="1" outline="0" fieldPosition="0">
        <references count="1">
          <reference field="0" count="1" defaultSubtotal="1">
            <x v="13"/>
          </reference>
        </references>
      </pivotArea>
    </format>
    <format dxfId="14">
      <pivotArea dataOnly="0" labelOnly="1" outline="0" fieldPosition="0">
        <references count="1">
          <reference field="0" count="1" defaultSubtotal="1">
            <x v="14"/>
          </reference>
        </references>
      </pivotArea>
    </format>
    <format dxfId="13">
      <pivotArea dataOnly="0" labelOnly="1" outline="0" fieldPosition="0">
        <references count="1">
          <reference field="0" count="1" defaultSubtotal="1">
            <x v="15"/>
          </reference>
        </references>
      </pivotArea>
    </format>
    <format dxfId="12">
      <pivotArea dataOnly="0" labelOnly="1" outline="0" fieldPosition="0">
        <references count="1">
          <reference field="0" count="1" defaultSubtotal="1">
            <x v="16"/>
          </reference>
        </references>
      </pivotArea>
    </format>
    <format dxfId="11">
      <pivotArea dataOnly="0" labelOnly="1" outline="0" fieldPosition="0">
        <references count="1">
          <reference field="0" count="1" defaultSubtotal="1">
            <x v="17"/>
          </reference>
        </references>
      </pivotArea>
    </format>
    <format dxfId="10">
      <pivotArea dataOnly="0" labelOnly="1" outline="0" fieldPosition="0">
        <references count="1">
          <reference field="0" count="1" defaultSubtotal="1">
            <x v="18"/>
          </reference>
        </references>
      </pivotArea>
    </format>
    <format dxfId="9">
      <pivotArea dataOnly="0" labelOnly="1" outline="0" fieldPosition="0">
        <references count="1">
          <reference field="0" count="1" defaultSubtotal="1">
            <x v="19"/>
          </reference>
        </references>
      </pivotArea>
    </format>
    <format dxfId="8">
      <pivotArea dataOnly="0" labelOnly="1" outline="0" fieldPosition="0">
        <references count="1">
          <reference field="0" count="1" defaultSubtotal="1">
            <x v="20"/>
          </reference>
        </references>
      </pivotArea>
    </format>
    <format dxfId="7">
      <pivotArea dataOnly="0" labelOnly="1" outline="0" fieldPosition="0">
        <references count="1">
          <reference field="0" count="1" defaultSubtotal="1">
            <x v="21"/>
          </reference>
        </references>
      </pivotArea>
    </format>
    <format dxfId="6">
      <pivotArea dataOnly="0" labelOnly="1" outline="0" fieldPosition="0">
        <references count="1">
          <reference field="0" count="1" defaultSubtotal="1">
            <x v="22"/>
          </reference>
        </references>
      </pivotArea>
    </format>
    <format dxfId="5">
      <pivotArea dataOnly="0" labelOnly="1" outline="0" fieldPosition="0">
        <references count="1">
          <reference field="0" count="1" defaultSubtotal="1">
            <x v="23"/>
          </reference>
        </references>
      </pivotArea>
    </format>
    <format dxfId="4">
      <pivotArea dataOnly="0" labelOnly="1" outline="0" fieldPosition="0">
        <references count="1">
          <reference field="0" count="1" defaultSubtotal="1">
            <x v="24"/>
          </reference>
        </references>
      </pivotArea>
    </format>
    <format dxfId="3">
      <pivotArea dataOnly="0" labelOnly="1" grandRow="1" outline="0" fieldPosition="0"/>
    </format>
    <format dxfId="2">
      <pivotArea outline="0" collapsedLevelsAreSubtotals="1" fieldPosition="0"/>
    </format>
    <format dxfId="1">
      <pivotArea dataOnly="0" labelOnly="1" outline="0" fieldPosition="0">
        <references count="1">
          <reference field="4294967294" count="3">
            <x v="0"/>
            <x v="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ronos MCSIG PPP" connectionId="1" xr16:uid="{5E430064-BC03-4D01-9F06-345D587DB836}" autoFormatId="16" applyNumberFormats="0" applyBorderFormats="0" applyFontFormats="0" applyPatternFormats="0" applyAlignmentFormats="0" applyWidthHeightFormats="0">
  <queryTableRefresh nextId="81" unboundColumnsRight="2">
    <queryTableFields count="14">
      <queryTableField id="3" name="DEP_NOMBRE" tableColumnId="3"/>
      <queryTableField id="67" name="OBJ_ID" tableColumnId="1"/>
      <queryTableField id="68" name="OBJ_DESCRIPCION" tableColumnId="2"/>
      <queryTableField id="69" name="EST_ID" tableColumnId="4"/>
      <queryTableField id="70" name="EST_DESCRIPCION" tableColumnId="5"/>
      <queryTableField id="71" name="SIN_ID" tableColumnId="6"/>
      <queryTableField id="72" name="SIN_NOMBRE" tableColumnId="7"/>
      <queryTableField id="73" name="SIP_CANTIDAD" tableColumnId="8"/>
      <queryTableField id="74" name="SIU_NUMBRE" tableColumnId="9"/>
      <queryTableField id="75" name="SIA_CANTIDAD" tableColumnId="10"/>
      <queryTableField id="76" name="SIA_OBSERVACIONES" tableColumnId="11"/>
      <queryTableField id="77" name="SIA_FECHA" tableColumnId="12"/>
      <queryTableField id="78" dataBound="0" tableColumnId="13"/>
      <queryTableField id="79" dataBound="0" tableColumnId="14"/>
    </queryTableFields>
    <queryTableDeletedFields count="7">
      <deletedField name="Actividad"/>
      <deletedField name="CONTEO"/>
      <deletedField name="ValorPorZona"/>
      <deletedField name="Departamemto"/>
      <deletedField name="Municipio"/>
      <deletedField name="FAE_FECHA_EPE"/>
      <deletedField name="DEP_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AF2B64-2368-481B-9392-7B9D2E2A7E6E}" name="Tabla_kronos_MCSIG_PEI" displayName="Tabla_kronos_MCSIG_PEI" ref="A1:N78" tableType="queryTable" totalsRowCount="1" headerRowDxfId="46">
  <autoFilter ref="A1:N77" xr:uid="{54B021D3-9B9A-459E-BC6D-827D97B378CE}"/>
  <tableColumns count="14">
    <tableColumn id="3" xr3:uid="{E7B5A421-8ED8-4102-ADFF-610671FB3D43}" uniqueName="3" name="DEP_NOMBRE" queryTableFieldId="3"/>
    <tableColumn id="1" xr3:uid="{C471FFCA-41F4-4255-BB25-DCA59E0F3957}" uniqueName="1" name="OBJ_ID" queryTableFieldId="67" dataDxfId="45" totalsRowDxfId="44"/>
    <tableColumn id="2" xr3:uid="{C93A7898-037C-4AC5-94D8-F0FC0299BEF5}" uniqueName="2" name="OBJ_DESCRIPCION" queryTableFieldId="68"/>
    <tableColumn id="4" xr3:uid="{C6B57D85-ADF0-4231-9497-AABBF8C56348}" uniqueName="4" name="EST_ID" queryTableFieldId="69" dataDxfId="43"/>
    <tableColumn id="5" xr3:uid="{685B3C29-3BD7-4A97-890C-89D2A54C05D4}" uniqueName="5" name="EST_DESCRIPCION" queryTableFieldId="70"/>
    <tableColumn id="6" xr3:uid="{65AE44FA-B6C0-429F-9D92-C54FC36BA582}" uniqueName="6" name="SIN_ID" queryTableFieldId="71" dataDxfId="42"/>
    <tableColumn id="7" xr3:uid="{720823D9-FFF5-435C-959F-27906350154A}" uniqueName="7" name="SIN_NOMBRE" totalsRowFunction="count" queryTableFieldId="72" totalsRowDxfId="41"/>
    <tableColumn id="8" xr3:uid="{0D2349AF-D84F-442D-B76F-4C75452E9DB2}" uniqueName="8" name="SIP_CANTIDAD" queryTableFieldId="73" dataDxfId="40"/>
    <tableColumn id="9" xr3:uid="{C47F9454-0D4C-4B14-A456-E7BD1C9881F8}" uniqueName="9" name="SIU_NUMBRE" queryTableFieldId="74"/>
    <tableColumn id="10" xr3:uid="{2DCEB573-BAE9-4F25-B753-8788379182A6}" uniqueName="10" name="SIA_CANTIDAD" totalsRowFunction="count" queryTableFieldId="75" dataDxfId="39" totalsRowDxfId="38"/>
    <tableColumn id="11" xr3:uid="{B7ACD2CE-1D68-4034-A146-FC00773E1F6B}" uniqueName="11" name="SIA_OBSERVACIONES" queryTableFieldId="76"/>
    <tableColumn id="12" xr3:uid="{0F0AFBD9-A24C-433C-A8AB-B7EF15C61120}" uniqueName="12" name="SIA_FECHA" queryTableFieldId="77" dataDxfId="37"/>
    <tableColumn id="13" xr3:uid="{61E3E310-7E37-4FE3-B100-0F18F6BCF194}" uniqueName="13" name="% Avance TOTAL" queryTableFieldId="78" dataDxfId="36" totalsRowDxfId="35" dataCellStyle="Porcentaje">
      <calculatedColumnFormula>IFERROR(Tabla_kronos_MCSIG_PEI[[#This Row],[SIA_CANTIDAD]]/Tabla_kronos_MCSIG_PEI[[#This Row],[SIP_CANTIDAD]],"Meta sin Valor")</calculatedColumnFormula>
    </tableColumn>
    <tableColumn id="14" xr3:uid="{26BD7257-3971-4306-A75A-4DDC05F1C005}" uniqueName="14" name="PND" totalsRowFunction="custom" queryTableFieldId="79" dataDxfId="34" totalsRowDxfId="33">
      <calculatedColumnFormula>IFERROR(IF(VLOOKUP(Tabla_kronos_MCSIG_PEI[[#This Row],[SIN_ID]],#REF!,1,0)&gt;0,"X","-"),"-")</calculatedColumnFormula>
      <totalsRowFormula>COUNTIF(Tabla_kronos_MCSIG_PEI[PND],"X")</totalsRow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58E9-4AC6-4D0C-AA7F-DAAC9D0FB39F}">
  <sheetPr>
    <tabColor rgb="FF002060"/>
  </sheetPr>
  <dimension ref="A1:R79"/>
  <sheetViews>
    <sheetView workbookViewId="0">
      <pane ySplit="1" topLeftCell="A2" activePane="bottomLeft" state="frozen"/>
      <selection pane="bottomLeft"/>
    </sheetView>
  </sheetViews>
  <sheetFormatPr baseColWidth="10" defaultRowHeight="14.4" x14ac:dyDescent="0.3"/>
  <cols>
    <col min="1" max="1" width="18" bestFit="1" customWidth="1"/>
    <col min="2" max="2" width="11.6640625" bestFit="1" customWidth="1"/>
    <col min="3" max="3" width="21.88671875" bestFit="1" customWidth="1"/>
    <col min="4" max="4" width="11.44140625" bestFit="1" customWidth="1"/>
    <col min="5" max="5" width="21.5546875" bestFit="1" customWidth="1"/>
    <col min="6" max="6" width="11.44140625" bestFit="1" customWidth="1"/>
    <col min="7" max="7" width="17.5546875" bestFit="1" customWidth="1"/>
    <col min="8" max="8" width="18.5546875" bestFit="1" customWidth="1"/>
    <col min="9" max="9" width="17.5546875" bestFit="1" customWidth="1"/>
    <col min="10" max="10" width="18.6640625" bestFit="1" customWidth="1"/>
    <col min="11" max="11" width="24.44140625" bestFit="1" customWidth="1"/>
    <col min="12" max="12" width="15.109375" bestFit="1" customWidth="1"/>
    <col min="13" max="13" width="20" bestFit="1" customWidth="1"/>
    <col min="14" max="14" width="9.44140625" bestFit="1" customWidth="1"/>
    <col min="15" max="15" width="9.44140625" style="1" bestFit="1" customWidth="1"/>
    <col min="17" max="17" width="17" bestFit="1" customWidth="1"/>
    <col min="18" max="19" width="15.6640625" bestFit="1" customWidth="1"/>
  </cols>
  <sheetData>
    <row r="1" spans="1:18" x14ac:dyDescent="0.3">
      <c r="A1" s="1" t="s">
        <v>107</v>
      </c>
      <c r="B1" s="1" t="s">
        <v>108</v>
      </c>
      <c r="C1" s="1" t="s">
        <v>109</v>
      </c>
      <c r="D1" s="1" t="s">
        <v>110</v>
      </c>
      <c r="E1" s="1" t="s">
        <v>111</v>
      </c>
      <c r="F1" s="1" t="s">
        <v>112</v>
      </c>
      <c r="G1" s="1" t="s">
        <v>113</v>
      </c>
      <c r="H1" s="3" t="s">
        <v>114</v>
      </c>
      <c r="I1" s="1" t="s">
        <v>115</v>
      </c>
      <c r="J1" s="3" t="s">
        <v>116</v>
      </c>
      <c r="K1" s="1" t="s">
        <v>117</v>
      </c>
      <c r="L1" s="1" t="s">
        <v>118</v>
      </c>
      <c r="M1" s="7" t="s">
        <v>106</v>
      </c>
      <c r="N1" s="9" t="s">
        <v>105</v>
      </c>
      <c r="O1"/>
      <c r="Q1" s="4" t="s">
        <v>119</v>
      </c>
      <c r="R1" s="5">
        <v>43861.755017592594</v>
      </c>
    </row>
    <row r="2" spans="1:18" x14ac:dyDescent="0.3">
      <c r="A2" t="s">
        <v>5</v>
      </c>
      <c r="B2" s="1">
        <v>1</v>
      </c>
      <c r="C2" t="s">
        <v>76</v>
      </c>
      <c r="D2" s="1">
        <v>32</v>
      </c>
      <c r="E2" t="s">
        <v>77</v>
      </c>
      <c r="F2" s="1">
        <v>223</v>
      </c>
      <c r="G2" t="s">
        <v>120</v>
      </c>
      <c r="H2" s="3">
        <v>0</v>
      </c>
      <c r="I2" t="s">
        <v>102</v>
      </c>
      <c r="J2" s="3">
        <v>0</v>
      </c>
      <c r="K2" t="s">
        <v>171</v>
      </c>
      <c r="L2" s="6">
        <v>43830.64947916667</v>
      </c>
      <c r="M2" s="8" t="str">
        <f>IFERROR(Tabla_kronos_MCSIG_PEI[[#This Row],[SIA_CANTIDAD]]/Tabla_kronos_MCSIG_PEI[[#This Row],[SIP_CANTIDAD]],"Meta sin Valor")</f>
        <v>Meta sin Valor</v>
      </c>
      <c r="N2" s="1" t="str">
        <f>IFERROR(IF(VLOOKUP(Tabla_kronos_MCSIG_PEI[[#This Row],[SIN_ID]],#REF!,1,0)&gt;0,"X","-"),"-")</f>
        <v>-</v>
      </c>
      <c r="O2"/>
      <c r="Q2" s="12">
        <f ca="1">NOW()</f>
        <v>44701.678918634258</v>
      </c>
    </row>
    <row r="3" spans="1:18" x14ac:dyDescent="0.3">
      <c r="A3" t="s">
        <v>5</v>
      </c>
      <c r="B3" s="1">
        <v>1</v>
      </c>
      <c r="C3" t="s">
        <v>76</v>
      </c>
      <c r="D3" s="1">
        <v>32</v>
      </c>
      <c r="E3" t="s">
        <v>77</v>
      </c>
      <c r="F3" s="1">
        <v>224</v>
      </c>
      <c r="G3" t="s">
        <v>121</v>
      </c>
      <c r="H3" s="3">
        <v>0</v>
      </c>
      <c r="I3" t="s">
        <v>102</v>
      </c>
      <c r="J3" s="3">
        <v>0</v>
      </c>
      <c r="K3" t="s">
        <v>172</v>
      </c>
      <c r="L3" s="6">
        <v>43830.65042824074</v>
      </c>
      <c r="M3" s="8" t="str">
        <f>IFERROR(Tabla_kronos_MCSIG_PEI[[#This Row],[SIA_CANTIDAD]]/Tabla_kronos_MCSIG_PEI[[#This Row],[SIP_CANTIDAD]],"Meta sin Valor")</f>
        <v>Meta sin Valor</v>
      </c>
      <c r="N3" s="1" t="str">
        <f>IFERROR(IF(VLOOKUP(Tabla_kronos_MCSIG_PEI[[#This Row],[SIN_ID]],#REF!,1,0)&gt;0,"X","-"),"-")</f>
        <v>-</v>
      </c>
      <c r="O3"/>
    </row>
    <row r="4" spans="1:18" x14ac:dyDescent="0.3">
      <c r="A4" t="s">
        <v>6</v>
      </c>
      <c r="B4" s="1">
        <v>1</v>
      </c>
      <c r="C4" t="s">
        <v>76</v>
      </c>
      <c r="D4" s="1">
        <v>32</v>
      </c>
      <c r="E4" t="s">
        <v>77</v>
      </c>
      <c r="F4" s="1">
        <v>225</v>
      </c>
      <c r="G4" t="s">
        <v>122</v>
      </c>
      <c r="H4" s="3">
        <v>0</v>
      </c>
      <c r="I4" t="s">
        <v>102</v>
      </c>
      <c r="J4" s="3">
        <v>0</v>
      </c>
      <c r="K4" t="s">
        <v>123</v>
      </c>
      <c r="L4" s="6">
        <v>43738.502962962964</v>
      </c>
      <c r="M4" s="8" t="str">
        <f>IFERROR(Tabla_kronos_MCSIG_PEI[[#This Row],[SIA_CANTIDAD]]/Tabla_kronos_MCSIG_PEI[[#This Row],[SIP_CANTIDAD]],"Meta sin Valor")</f>
        <v>Meta sin Valor</v>
      </c>
      <c r="N4" s="1" t="str">
        <f>IFERROR(IF(VLOOKUP(Tabla_kronos_MCSIG_PEI[[#This Row],[SIN_ID]],#REF!,1,0)&gt;0,"X","-"),"-")</f>
        <v>-</v>
      </c>
      <c r="O4"/>
    </row>
    <row r="5" spans="1:18" x14ac:dyDescent="0.3">
      <c r="A5" t="s">
        <v>124</v>
      </c>
      <c r="B5" s="1">
        <v>1</v>
      </c>
      <c r="C5" t="s">
        <v>76</v>
      </c>
      <c r="D5" s="1">
        <v>32</v>
      </c>
      <c r="E5" t="s">
        <v>77</v>
      </c>
      <c r="F5" s="1">
        <v>226</v>
      </c>
      <c r="G5" t="s">
        <v>78</v>
      </c>
      <c r="H5" s="3">
        <v>25</v>
      </c>
      <c r="I5" t="s">
        <v>102</v>
      </c>
      <c r="J5" s="3">
        <v>35</v>
      </c>
      <c r="K5" t="s">
        <v>125</v>
      </c>
      <c r="L5" s="6">
        <v>43738.752824074072</v>
      </c>
      <c r="M5" s="8">
        <f>IFERROR(Tabla_kronos_MCSIG_PEI[[#This Row],[SIA_CANTIDAD]]/Tabla_kronos_MCSIG_PEI[[#This Row],[SIP_CANTIDAD]],"Meta sin Valor")</f>
        <v>1.4</v>
      </c>
      <c r="N5" s="1" t="str">
        <f>IFERROR(IF(VLOOKUP(Tabla_kronos_MCSIG_PEI[[#This Row],[SIN_ID]],#REF!,1,0)&gt;0,"X","-"),"-")</f>
        <v>-</v>
      </c>
      <c r="O5"/>
    </row>
    <row r="6" spans="1:18" x14ac:dyDescent="0.3">
      <c r="A6" t="s">
        <v>3</v>
      </c>
      <c r="B6" s="1">
        <v>1</v>
      </c>
      <c r="C6" t="s">
        <v>76</v>
      </c>
      <c r="D6" s="1">
        <v>32</v>
      </c>
      <c r="E6" t="s">
        <v>77</v>
      </c>
      <c r="F6" s="1">
        <v>227</v>
      </c>
      <c r="G6" t="s">
        <v>126</v>
      </c>
      <c r="H6" s="3">
        <v>1</v>
      </c>
      <c r="I6" t="s">
        <v>102</v>
      </c>
      <c r="J6" s="3">
        <v>1</v>
      </c>
      <c r="K6" t="s">
        <v>194</v>
      </c>
      <c r="L6" s="6">
        <v>43830.64335648148</v>
      </c>
      <c r="M6" s="8">
        <f>IFERROR(Tabla_kronos_MCSIG_PEI[[#This Row],[SIA_CANTIDAD]]/Tabla_kronos_MCSIG_PEI[[#This Row],[SIP_CANTIDAD]],"Meta sin Valor")</f>
        <v>1</v>
      </c>
      <c r="N6" s="1" t="str">
        <f>IFERROR(IF(VLOOKUP(Tabla_kronos_MCSIG_PEI[[#This Row],[SIN_ID]],#REF!,1,0)&gt;0,"X","-"),"-")</f>
        <v>-</v>
      </c>
      <c r="O6"/>
    </row>
    <row r="7" spans="1:18" x14ac:dyDescent="0.3">
      <c r="A7" t="s">
        <v>1</v>
      </c>
      <c r="B7" s="1">
        <v>1</v>
      </c>
      <c r="C7" t="s">
        <v>76</v>
      </c>
      <c r="D7" s="1">
        <v>31</v>
      </c>
      <c r="E7" t="s">
        <v>0</v>
      </c>
      <c r="F7" s="1">
        <v>221</v>
      </c>
      <c r="G7" t="s">
        <v>127</v>
      </c>
      <c r="H7" s="3">
        <v>0</v>
      </c>
      <c r="I7" t="s">
        <v>102</v>
      </c>
      <c r="J7" s="3">
        <v>0</v>
      </c>
      <c r="K7" t="s">
        <v>173</v>
      </c>
      <c r="L7" s="6">
        <v>43826.435208333336</v>
      </c>
      <c r="M7" s="8" t="str">
        <f>IFERROR(Tabla_kronos_MCSIG_PEI[[#This Row],[SIA_CANTIDAD]]/Tabla_kronos_MCSIG_PEI[[#This Row],[SIP_CANTIDAD]],"Meta sin Valor")</f>
        <v>Meta sin Valor</v>
      </c>
      <c r="N7" s="1" t="str">
        <f>IFERROR(IF(VLOOKUP(Tabla_kronos_MCSIG_PEI[[#This Row],[SIN_ID]],#REF!,1,0)&gt;0,"X","-"),"-")</f>
        <v>-</v>
      </c>
      <c r="O7"/>
    </row>
    <row r="8" spans="1:18" x14ac:dyDescent="0.3">
      <c r="A8" t="s">
        <v>1</v>
      </c>
      <c r="B8" s="1">
        <v>1</v>
      </c>
      <c r="C8" t="s">
        <v>76</v>
      </c>
      <c r="D8" s="1">
        <v>31</v>
      </c>
      <c r="E8" t="s">
        <v>0</v>
      </c>
      <c r="F8" s="1">
        <v>222</v>
      </c>
      <c r="G8" t="s">
        <v>2</v>
      </c>
      <c r="H8" s="3">
        <v>25</v>
      </c>
      <c r="I8" t="s">
        <v>102</v>
      </c>
      <c r="J8" s="3">
        <v>25</v>
      </c>
      <c r="K8" t="s">
        <v>174</v>
      </c>
      <c r="L8" s="6">
        <v>43830.441805555558</v>
      </c>
      <c r="M8" s="8">
        <f>IFERROR(Tabla_kronos_MCSIG_PEI[[#This Row],[SIA_CANTIDAD]]/Tabla_kronos_MCSIG_PEI[[#This Row],[SIP_CANTIDAD]],"Meta sin Valor")</f>
        <v>1</v>
      </c>
      <c r="N8" s="1" t="str">
        <f>IFERROR(IF(VLOOKUP(Tabla_kronos_MCSIG_PEI[[#This Row],[SIN_ID]],#REF!,1,0)&gt;0,"X","-"),"-")</f>
        <v>-</v>
      </c>
      <c r="O8"/>
    </row>
    <row r="9" spans="1:18" x14ac:dyDescent="0.3">
      <c r="A9" t="s">
        <v>3</v>
      </c>
      <c r="B9" s="1">
        <v>1</v>
      </c>
      <c r="C9" t="s">
        <v>76</v>
      </c>
      <c r="D9" s="1">
        <v>31</v>
      </c>
      <c r="E9" t="s">
        <v>0</v>
      </c>
      <c r="F9" s="1">
        <v>304</v>
      </c>
      <c r="G9" t="s">
        <v>4</v>
      </c>
      <c r="H9" s="3">
        <v>3</v>
      </c>
      <c r="I9" t="s">
        <v>102</v>
      </c>
      <c r="J9" s="3">
        <v>3</v>
      </c>
      <c r="K9" t="s">
        <v>195</v>
      </c>
      <c r="L9" s="6">
        <v>43830.641226851854</v>
      </c>
      <c r="M9" s="8">
        <f>IFERROR(Tabla_kronos_MCSIG_PEI[[#This Row],[SIA_CANTIDAD]]/Tabla_kronos_MCSIG_PEI[[#This Row],[SIP_CANTIDAD]],"Meta sin Valor")</f>
        <v>1</v>
      </c>
      <c r="N9" s="1" t="str">
        <f>IFERROR(IF(VLOOKUP(Tabla_kronos_MCSIG_PEI[[#This Row],[SIN_ID]],#REF!,1,0)&gt;0,"X","-"),"-")</f>
        <v>-</v>
      </c>
      <c r="O9"/>
    </row>
    <row r="10" spans="1:18" x14ac:dyDescent="0.3">
      <c r="A10" t="s">
        <v>3</v>
      </c>
      <c r="B10" s="1">
        <v>1</v>
      </c>
      <c r="C10" t="s">
        <v>76</v>
      </c>
      <c r="D10" s="1">
        <v>33</v>
      </c>
      <c r="E10" t="s">
        <v>7</v>
      </c>
      <c r="F10" s="1">
        <v>228</v>
      </c>
      <c r="G10" t="s">
        <v>79</v>
      </c>
      <c r="H10" s="3">
        <v>1</v>
      </c>
      <c r="I10" t="s">
        <v>102</v>
      </c>
      <c r="J10" s="3">
        <v>4</v>
      </c>
      <c r="K10" t="s">
        <v>196</v>
      </c>
      <c r="L10" s="6">
        <v>43830.643993055557</v>
      </c>
      <c r="M10" s="8">
        <f>IFERROR(Tabla_kronos_MCSIG_PEI[[#This Row],[SIA_CANTIDAD]]/Tabla_kronos_MCSIG_PEI[[#This Row],[SIP_CANTIDAD]],"Meta sin Valor")</f>
        <v>4</v>
      </c>
      <c r="N10" s="1" t="str">
        <f>IFERROR(IF(VLOOKUP(Tabla_kronos_MCSIG_PEI[[#This Row],[SIN_ID]],#REF!,1,0)&gt;0,"X","-"),"-")</f>
        <v>-</v>
      </c>
      <c r="O10"/>
    </row>
    <row r="11" spans="1:18" x14ac:dyDescent="0.3">
      <c r="A11" t="s">
        <v>12</v>
      </c>
      <c r="B11" s="1">
        <v>2</v>
      </c>
      <c r="C11" t="s">
        <v>8</v>
      </c>
      <c r="D11" s="1">
        <v>48</v>
      </c>
      <c r="E11" t="s">
        <v>81</v>
      </c>
      <c r="F11" s="1">
        <v>232</v>
      </c>
      <c r="G11" t="s">
        <v>82</v>
      </c>
      <c r="H11" s="3">
        <v>33</v>
      </c>
      <c r="I11" t="s">
        <v>102</v>
      </c>
      <c r="J11" s="3"/>
      <c r="L11" s="6"/>
      <c r="M11" s="8">
        <f>IFERROR(Tabla_kronos_MCSIG_PEI[[#This Row],[SIA_CANTIDAD]]/Tabla_kronos_MCSIG_PEI[[#This Row],[SIP_CANTIDAD]],"Meta sin Valor")</f>
        <v>0</v>
      </c>
      <c r="N11" s="1" t="str">
        <f>IFERROR(IF(VLOOKUP(Tabla_kronos_MCSIG_PEI[[#This Row],[SIN_ID]],#REF!,1,0)&gt;0,"X","-"),"-")</f>
        <v>-</v>
      </c>
      <c r="O11"/>
    </row>
    <row r="12" spans="1:18" x14ac:dyDescent="0.3">
      <c r="A12" t="s">
        <v>10</v>
      </c>
      <c r="B12" s="1">
        <v>2</v>
      </c>
      <c r="C12" t="s">
        <v>8</v>
      </c>
      <c r="D12" s="1">
        <v>47</v>
      </c>
      <c r="E12" t="s">
        <v>9</v>
      </c>
      <c r="F12" s="1">
        <v>229</v>
      </c>
      <c r="G12" t="s">
        <v>80</v>
      </c>
      <c r="H12" s="3">
        <v>93</v>
      </c>
      <c r="I12" t="s">
        <v>103</v>
      </c>
      <c r="J12" s="3">
        <v>93</v>
      </c>
      <c r="K12" t="s">
        <v>224</v>
      </c>
      <c r="L12" s="6">
        <v>43769.549432870372</v>
      </c>
      <c r="M12" s="8">
        <f>IFERROR(Tabla_kronos_MCSIG_PEI[[#This Row],[SIA_CANTIDAD]]/Tabla_kronos_MCSIG_PEI[[#This Row],[SIP_CANTIDAD]],"Meta sin Valor")</f>
        <v>1</v>
      </c>
      <c r="N12" s="1" t="str">
        <f>IFERROR(IF(VLOOKUP(Tabla_kronos_MCSIG_PEI[[#This Row],[SIN_ID]],#REF!,1,0)&gt;0,"X","-"),"-")</f>
        <v>-</v>
      </c>
      <c r="O12"/>
    </row>
    <row r="13" spans="1:18" x14ac:dyDescent="0.3">
      <c r="A13" t="s">
        <v>10</v>
      </c>
      <c r="B13" s="1">
        <v>2</v>
      </c>
      <c r="C13" t="s">
        <v>8</v>
      </c>
      <c r="D13" s="1">
        <v>47</v>
      </c>
      <c r="E13" t="s">
        <v>9</v>
      </c>
      <c r="F13" s="1">
        <v>230</v>
      </c>
      <c r="G13" t="s">
        <v>11</v>
      </c>
      <c r="H13" s="3">
        <v>1047</v>
      </c>
      <c r="I13" t="s">
        <v>102</v>
      </c>
      <c r="J13" s="3">
        <v>3102</v>
      </c>
      <c r="K13" t="s">
        <v>230</v>
      </c>
      <c r="L13" s="6">
        <v>43830.549861111111</v>
      </c>
      <c r="M13" s="8">
        <f>IFERROR(Tabla_kronos_MCSIG_PEI[[#This Row],[SIA_CANTIDAD]]/Tabla_kronos_MCSIG_PEI[[#This Row],[SIP_CANTIDAD]],"Meta sin Valor")</f>
        <v>2.9627507163323781</v>
      </c>
      <c r="N13" s="1" t="str">
        <f>IFERROR(IF(VLOOKUP(Tabla_kronos_MCSIG_PEI[[#This Row],[SIN_ID]],#REF!,1,0)&gt;0,"X","-"),"-")</f>
        <v>-</v>
      </c>
      <c r="O13"/>
    </row>
    <row r="14" spans="1:18" x14ac:dyDescent="0.3">
      <c r="A14" t="s">
        <v>10</v>
      </c>
      <c r="B14" s="1">
        <v>2</v>
      </c>
      <c r="C14" t="s">
        <v>8</v>
      </c>
      <c r="D14" s="1">
        <v>47</v>
      </c>
      <c r="E14" t="s">
        <v>9</v>
      </c>
      <c r="F14" s="1">
        <v>231</v>
      </c>
      <c r="G14" t="s">
        <v>128</v>
      </c>
      <c r="H14" s="3">
        <v>0</v>
      </c>
      <c r="I14" t="s">
        <v>102</v>
      </c>
      <c r="J14" s="3">
        <v>0</v>
      </c>
      <c r="K14" t="s">
        <v>129</v>
      </c>
      <c r="L14" s="6">
        <v>43769.550567129627</v>
      </c>
      <c r="M14" s="8" t="str">
        <f>IFERROR(Tabla_kronos_MCSIG_PEI[[#This Row],[SIA_CANTIDAD]]/Tabla_kronos_MCSIG_PEI[[#This Row],[SIP_CANTIDAD]],"Meta sin Valor")</f>
        <v>Meta sin Valor</v>
      </c>
      <c r="N14" s="1" t="str">
        <f>IFERROR(IF(VLOOKUP(Tabla_kronos_MCSIG_PEI[[#This Row],[SIN_ID]],#REF!,1,0)&gt;0,"X","-"),"-")</f>
        <v>-</v>
      </c>
      <c r="O14"/>
    </row>
    <row r="15" spans="1:18" x14ac:dyDescent="0.3">
      <c r="A15" t="s">
        <v>124</v>
      </c>
      <c r="B15" s="1">
        <v>2</v>
      </c>
      <c r="C15" t="s">
        <v>8</v>
      </c>
      <c r="D15" s="1">
        <v>51</v>
      </c>
      <c r="E15" t="s">
        <v>17</v>
      </c>
      <c r="F15" s="1">
        <v>237</v>
      </c>
      <c r="G15" t="s">
        <v>18</v>
      </c>
      <c r="H15" s="3">
        <v>100</v>
      </c>
      <c r="I15" t="s">
        <v>103</v>
      </c>
      <c r="J15" s="3">
        <v>56</v>
      </c>
      <c r="K15" t="s">
        <v>130</v>
      </c>
      <c r="L15" s="6">
        <v>43738.755011574074</v>
      </c>
      <c r="M15" s="8">
        <f>IFERROR(Tabla_kronos_MCSIG_PEI[[#This Row],[SIA_CANTIDAD]]/Tabla_kronos_MCSIG_PEI[[#This Row],[SIP_CANTIDAD]],"Meta sin Valor")</f>
        <v>0.56000000000000005</v>
      </c>
      <c r="N15" s="1" t="str">
        <f>IFERROR(IF(VLOOKUP(Tabla_kronos_MCSIG_PEI[[#This Row],[SIN_ID]],#REF!,1,0)&gt;0,"X","-"),"-")</f>
        <v>-</v>
      </c>
      <c r="O15"/>
    </row>
    <row r="16" spans="1:18" x14ac:dyDescent="0.3">
      <c r="A16" t="s">
        <v>131</v>
      </c>
      <c r="B16" s="1">
        <v>2</v>
      </c>
      <c r="C16" t="s">
        <v>8</v>
      </c>
      <c r="D16" s="1">
        <v>49</v>
      </c>
      <c r="E16" t="s">
        <v>83</v>
      </c>
      <c r="F16" s="1">
        <v>233</v>
      </c>
      <c r="G16" t="s">
        <v>13</v>
      </c>
      <c r="H16" s="3">
        <v>16</v>
      </c>
      <c r="I16" t="s">
        <v>102</v>
      </c>
      <c r="J16" s="3">
        <v>17</v>
      </c>
      <c r="K16" t="s">
        <v>197</v>
      </c>
      <c r="L16" s="6">
        <v>43830.410925925928</v>
      </c>
      <c r="M16" s="8">
        <f>IFERROR(Tabla_kronos_MCSIG_PEI[[#This Row],[SIA_CANTIDAD]]/Tabla_kronos_MCSIG_PEI[[#This Row],[SIP_CANTIDAD]],"Meta sin Valor")</f>
        <v>1.0625</v>
      </c>
      <c r="N16" s="1" t="str">
        <f>IFERROR(IF(VLOOKUP(Tabla_kronos_MCSIG_PEI[[#This Row],[SIN_ID]],#REF!,1,0)&gt;0,"X","-"),"-")</f>
        <v>-</v>
      </c>
      <c r="O16"/>
    </row>
    <row r="17" spans="1:15" x14ac:dyDescent="0.3">
      <c r="A17" t="s">
        <v>131</v>
      </c>
      <c r="B17" s="1">
        <v>2</v>
      </c>
      <c r="C17" t="s">
        <v>8</v>
      </c>
      <c r="D17" s="1">
        <v>49</v>
      </c>
      <c r="E17" t="s">
        <v>83</v>
      </c>
      <c r="F17" s="1">
        <v>234</v>
      </c>
      <c r="G17" t="s">
        <v>14</v>
      </c>
      <c r="H17" s="3">
        <v>8</v>
      </c>
      <c r="I17" t="s">
        <v>102</v>
      </c>
      <c r="J17" s="3">
        <v>10</v>
      </c>
      <c r="K17" t="s">
        <v>198</v>
      </c>
      <c r="L17" s="6">
        <v>43830.414166666669</v>
      </c>
      <c r="M17" s="8">
        <f>IFERROR(Tabla_kronos_MCSIG_PEI[[#This Row],[SIA_CANTIDAD]]/Tabla_kronos_MCSIG_PEI[[#This Row],[SIP_CANTIDAD]],"Meta sin Valor")</f>
        <v>1.25</v>
      </c>
      <c r="N17" s="1" t="str">
        <f>IFERROR(IF(VLOOKUP(Tabla_kronos_MCSIG_PEI[[#This Row],[SIN_ID]],#REF!,1,0)&gt;0,"X","-"),"-")</f>
        <v>-</v>
      </c>
      <c r="O17"/>
    </row>
    <row r="18" spans="1:15" x14ac:dyDescent="0.3">
      <c r="A18" t="s">
        <v>12</v>
      </c>
      <c r="B18" s="1">
        <v>2</v>
      </c>
      <c r="C18" t="s">
        <v>8</v>
      </c>
      <c r="D18" s="1">
        <v>49</v>
      </c>
      <c r="E18" t="s">
        <v>83</v>
      </c>
      <c r="F18" s="1">
        <v>289</v>
      </c>
      <c r="G18" t="s">
        <v>15</v>
      </c>
      <c r="H18" s="3">
        <v>1</v>
      </c>
      <c r="I18" t="s">
        <v>102</v>
      </c>
      <c r="J18" s="3">
        <v>0</v>
      </c>
      <c r="K18" t="s">
        <v>219</v>
      </c>
      <c r="L18" s="6">
        <v>43830.497581018521</v>
      </c>
      <c r="M18" s="8">
        <f>IFERROR(Tabla_kronos_MCSIG_PEI[[#This Row],[SIA_CANTIDAD]]/Tabla_kronos_MCSIG_PEI[[#This Row],[SIP_CANTIDAD]],"Meta sin Valor")</f>
        <v>0</v>
      </c>
      <c r="N18" s="1" t="str">
        <f>IFERROR(IF(VLOOKUP(Tabla_kronos_MCSIG_PEI[[#This Row],[SIN_ID]],#REF!,1,0)&gt;0,"X","-"),"-")</f>
        <v>-</v>
      </c>
      <c r="O18"/>
    </row>
    <row r="19" spans="1:15" x14ac:dyDescent="0.3">
      <c r="A19" t="s">
        <v>3</v>
      </c>
      <c r="B19" s="1">
        <v>2</v>
      </c>
      <c r="C19" t="s">
        <v>8</v>
      </c>
      <c r="D19" s="1">
        <v>50</v>
      </c>
      <c r="E19" t="s">
        <v>184</v>
      </c>
      <c r="F19" s="1">
        <v>235</v>
      </c>
      <c r="G19" t="s">
        <v>188</v>
      </c>
      <c r="H19" s="3">
        <v>3</v>
      </c>
      <c r="I19" t="s">
        <v>102</v>
      </c>
      <c r="J19" s="3">
        <v>7</v>
      </c>
      <c r="K19" t="s">
        <v>199</v>
      </c>
      <c r="L19" s="6">
        <v>43830.645069444443</v>
      </c>
      <c r="M19" s="8">
        <f>IFERROR(Tabla_kronos_MCSIG_PEI[[#This Row],[SIA_CANTIDAD]]/Tabla_kronos_MCSIG_PEI[[#This Row],[SIP_CANTIDAD]],"Meta sin Valor")</f>
        <v>2.3333333333333335</v>
      </c>
      <c r="N19" s="1" t="str">
        <f>IFERROR(IF(VLOOKUP(Tabla_kronos_MCSIG_PEI[[#This Row],[SIN_ID]],#REF!,1,0)&gt;0,"X","-"),"-")</f>
        <v>-</v>
      </c>
      <c r="O19"/>
    </row>
    <row r="20" spans="1:15" x14ac:dyDescent="0.3">
      <c r="A20" t="s">
        <v>3</v>
      </c>
      <c r="B20" s="1">
        <v>2</v>
      </c>
      <c r="C20" t="s">
        <v>8</v>
      </c>
      <c r="D20" s="1">
        <v>50</v>
      </c>
      <c r="E20" t="s">
        <v>184</v>
      </c>
      <c r="F20" s="1">
        <v>236</v>
      </c>
      <c r="G20" t="s">
        <v>16</v>
      </c>
      <c r="H20" s="3">
        <v>1</v>
      </c>
      <c r="I20" t="s">
        <v>102</v>
      </c>
      <c r="J20" s="3">
        <v>4</v>
      </c>
      <c r="K20" t="s">
        <v>200</v>
      </c>
      <c r="L20" s="6">
        <v>43830.644525462965</v>
      </c>
      <c r="M20" s="8">
        <f>IFERROR(Tabla_kronos_MCSIG_PEI[[#This Row],[SIA_CANTIDAD]]/Tabla_kronos_MCSIG_PEI[[#This Row],[SIP_CANTIDAD]],"Meta sin Valor")</f>
        <v>4</v>
      </c>
      <c r="N20" s="1" t="str">
        <f>IFERROR(IF(VLOOKUP(Tabla_kronos_MCSIG_PEI[[#This Row],[SIN_ID]],#REF!,1,0)&gt;0,"X","-"),"-")</f>
        <v>-</v>
      </c>
      <c r="O20"/>
    </row>
    <row r="21" spans="1:15" x14ac:dyDescent="0.3">
      <c r="A21" t="s">
        <v>5</v>
      </c>
      <c r="B21" s="1">
        <v>3</v>
      </c>
      <c r="C21" t="s">
        <v>19</v>
      </c>
      <c r="D21" s="1">
        <v>53</v>
      </c>
      <c r="E21" t="s">
        <v>23</v>
      </c>
      <c r="F21" s="1">
        <v>243</v>
      </c>
      <c r="G21" t="s">
        <v>189</v>
      </c>
      <c r="H21" s="3">
        <v>16</v>
      </c>
      <c r="I21" t="s">
        <v>102</v>
      </c>
      <c r="J21" s="3">
        <v>16</v>
      </c>
      <c r="K21" t="s">
        <v>175</v>
      </c>
      <c r="L21" s="6">
        <v>43830.685081018521</v>
      </c>
      <c r="M21" s="8">
        <f>IFERROR(Tabla_kronos_MCSIG_PEI[[#This Row],[SIA_CANTIDAD]]/Tabla_kronos_MCSIG_PEI[[#This Row],[SIP_CANTIDAD]],"Meta sin Valor")</f>
        <v>1</v>
      </c>
      <c r="N21" s="1" t="str">
        <f>IFERROR(IF(VLOOKUP(Tabla_kronos_MCSIG_PEI[[#This Row],[SIN_ID]],#REF!,1,0)&gt;0,"X","-"),"-")</f>
        <v>-</v>
      </c>
      <c r="O21"/>
    </row>
    <row r="22" spans="1:15" x14ac:dyDescent="0.3">
      <c r="A22" t="s">
        <v>6</v>
      </c>
      <c r="B22" s="1">
        <v>3</v>
      </c>
      <c r="C22" t="s">
        <v>19</v>
      </c>
      <c r="D22" s="1">
        <v>53</v>
      </c>
      <c r="E22" t="s">
        <v>23</v>
      </c>
      <c r="F22" s="1">
        <v>244</v>
      </c>
      <c r="G22" t="s">
        <v>24</v>
      </c>
      <c r="H22" s="3">
        <v>4251</v>
      </c>
      <c r="I22" t="s">
        <v>102</v>
      </c>
      <c r="J22" s="3">
        <v>4664</v>
      </c>
      <c r="K22" t="s">
        <v>212</v>
      </c>
      <c r="L22" s="6">
        <v>43830.57671296296</v>
      </c>
      <c r="M22" s="8">
        <f>IFERROR(Tabla_kronos_MCSIG_PEI[[#This Row],[SIA_CANTIDAD]]/Tabla_kronos_MCSIG_PEI[[#This Row],[SIP_CANTIDAD]],"Meta sin Valor")</f>
        <v>1.0971536109150788</v>
      </c>
      <c r="N22" s="1" t="str">
        <f>IFERROR(IF(VLOOKUP(Tabla_kronos_MCSIG_PEI[[#This Row],[SIN_ID]],#REF!,1,0)&gt;0,"X","-"),"-")</f>
        <v>-</v>
      </c>
      <c r="O22"/>
    </row>
    <row r="23" spans="1:15" x14ac:dyDescent="0.3">
      <c r="A23" t="s">
        <v>6</v>
      </c>
      <c r="B23" s="1">
        <v>3</v>
      </c>
      <c r="C23" t="s">
        <v>19</v>
      </c>
      <c r="D23" s="1">
        <v>53</v>
      </c>
      <c r="E23" t="s">
        <v>23</v>
      </c>
      <c r="F23" s="1">
        <v>245</v>
      </c>
      <c r="G23" t="s">
        <v>85</v>
      </c>
      <c r="H23" s="3">
        <v>176272</v>
      </c>
      <c r="I23" t="s">
        <v>102</v>
      </c>
      <c r="J23" s="3">
        <v>187566</v>
      </c>
      <c r="K23" t="s">
        <v>213</v>
      </c>
      <c r="L23" s="6">
        <v>43830.673530092594</v>
      </c>
      <c r="M23" s="8">
        <f>IFERROR(Tabla_kronos_MCSIG_PEI[[#This Row],[SIA_CANTIDAD]]/Tabla_kronos_MCSIG_PEI[[#This Row],[SIP_CANTIDAD]],"Meta sin Valor")</f>
        <v>1.0640714350549152</v>
      </c>
      <c r="N23" s="1" t="str">
        <f>IFERROR(IF(VLOOKUP(Tabla_kronos_MCSIG_PEI[[#This Row],[SIN_ID]],#REF!,1,0)&gt;0,"X","-"),"-")</f>
        <v>-</v>
      </c>
      <c r="O23"/>
    </row>
    <row r="24" spans="1:15" x14ac:dyDescent="0.3">
      <c r="A24" t="s">
        <v>25</v>
      </c>
      <c r="B24" s="1">
        <v>3</v>
      </c>
      <c r="C24" t="s">
        <v>19</v>
      </c>
      <c r="D24" s="1">
        <v>53</v>
      </c>
      <c r="E24" t="s">
        <v>23</v>
      </c>
      <c r="F24" s="1">
        <v>246</v>
      </c>
      <c r="G24" t="s">
        <v>86</v>
      </c>
      <c r="H24" s="3">
        <v>4</v>
      </c>
      <c r="I24" t="s">
        <v>102</v>
      </c>
      <c r="J24" s="3">
        <v>16</v>
      </c>
      <c r="K24" t="s">
        <v>201</v>
      </c>
      <c r="L24" s="6">
        <v>43830.671180555553</v>
      </c>
      <c r="M24" s="8">
        <f>IFERROR(Tabla_kronos_MCSIG_PEI[[#This Row],[SIA_CANTIDAD]]/Tabla_kronos_MCSIG_PEI[[#This Row],[SIP_CANTIDAD]],"Meta sin Valor")</f>
        <v>4</v>
      </c>
      <c r="N24" s="1" t="str">
        <f>IFERROR(IF(VLOOKUP(Tabla_kronos_MCSIG_PEI[[#This Row],[SIN_ID]],#REF!,1,0)&gt;0,"X","-"),"-")</f>
        <v>-</v>
      </c>
      <c r="O24"/>
    </row>
    <row r="25" spans="1:15" x14ac:dyDescent="0.3">
      <c r="A25" t="s">
        <v>26</v>
      </c>
      <c r="B25" s="1">
        <v>3</v>
      </c>
      <c r="C25" t="s">
        <v>19</v>
      </c>
      <c r="D25" s="1">
        <v>53</v>
      </c>
      <c r="E25" t="s">
        <v>23</v>
      </c>
      <c r="F25" s="1">
        <v>247</v>
      </c>
      <c r="G25" t="s">
        <v>27</v>
      </c>
      <c r="H25" s="3">
        <v>10</v>
      </c>
      <c r="I25" t="s">
        <v>102</v>
      </c>
      <c r="J25" s="3">
        <v>10</v>
      </c>
      <c r="K25" t="s">
        <v>159</v>
      </c>
      <c r="L25" s="6">
        <v>43830.673043981478</v>
      </c>
      <c r="M25" s="8">
        <f>IFERROR(Tabla_kronos_MCSIG_PEI[[#This Row],[SIA_CANTIDAD]]/Tabla_kronos_MCSIG_PEI[[#This Row],[SIP_CANTIDAD]],"Meta sin Valor")</f>
        <v>1</v>
      </c>
      <c r="N25" s="1" t="str">
        <f>IFERROR(IF(VLOOKUP(Tabla_kronos_MCSIG_PEI[[#This Row],[SIN_ID]],#REF!,1,0)&gt;0,"X","-"),"-")</f>
        <v>-</v>
      </c>
      <c r="O25"/>
    </row>
    <row r="26" spans="1:15" x14ac:dyDescent="0.3">
      <c r="A26" t="s">
        <v>12</v>
      </c>
      <c r="B26" s="1">
        <v>3</v>
      </c>
      <c r="C26" t="s">
        <v>19</v>
      </c>
      <c r="D26" s="1">
        <v>53</v>
      </c>
      <c r="E26" t="s">
        <v>23</v>
      </c>
      <c r="F26" s="1">
        <v>307</v>
      </c>
      <c r="G26" t="s">
        <v>28</v>
      </c>
      <c r="H26" s="3">
        <v>1</v>
      </c>
      <c r="I26" t="s">
        <v>102</v>
      </c>
      <c r="J26" s="3">
        <v>1</v>
      </c>
      <c r="K26" t="s">
        <v>220</v>
      </c>
      <c r="L26" s="6">
        <v>43830.490902777776</v>
      </c>
      <c r="M26" s="8">
        <f>IFERROR(Tabla_kronos_MCSIG_PEI[[#This Row],[SIA_CANTIDAD]]/Tabla_kronos_MCSIG_PEI[[#This Row],[SIP_CANTIDAD]],"Meta sin Valor")</f>
        <v>1</v>
      </c>
      <c r="N26" s="1" t="str">
        <f>IFERROR(IF(VLOOKUP(Tabla_kronos_MCSIG_PEI[[#This Row],[SIN_ID]],#REF!,1,0)&gt;0,"X","-"),"-")</f>
        <v>-</v>
      </c>
      <c r="O26"/>
    </row>
    <row r="27" spans="1:15" x14ac:dyDescent="0.3">
      <c r="A27" t="s">
        <v>26</v>
      </c>
      <c r="B27" s="1">
        <v>3</v>
      </c>
      <c r="C27" t="s">
        <v>19</v>
      </c>
      <c r="D27" s="1">
        <v>55</v>
      </c>
      <c r="E27" t="s">
        <v>31</v>
      </c>
      <c r="F27" s="1">
        <v>249</v>
      </c>
      <c r="G27" t="s">
        <v>132</v>
      </c>
      <c r="H27" s="3">
        <v>250</v>
      </c>
      <c r="I27" t="s">
        <v>102</v>
      </c>
      <c r="J27" s="3">
        <v>256</v>
      </c>
      <c r="K27" t="s">
        <v>176</v>
      </c>
      <c r="L27" s="6">
        <v>43830.637361111112</v>
      </c>
      <c r="M27" s="8">
        <f>IFERROR(Tabla_kronos_MCSIG_PEI[[#This Row],[SIA_CANTIDAD]]/Tabla_kronos_MCSIG_PEI[[#This Row],[SIP_CANTIDAD]],"Meta sin Valor")</f>
        <v>1.024</v>
      </c>
      <c r="N27" s="1" t="str">
        <f>IFERROR(IF(VLOOKUP(Tabla_kronos_MCSIG_PEI[[#This Row],[SIN_ID]],#REF!,1,0)&gt;0,"X","-"),"-")</f>
        <v>-</v>
      </c>
      <c r="O27"/>
    </row>
    <row r="28" spans="1:15" x14ac:dyDescent="0.3">
      <c r="A28" t="s">
        <v>32</v>
      </c>
      <c r="B28" s="1">
        <v>3</v>
      </c>
      <c r="C28" t="s">
        <v>19</v>
      </c>
      <c r="D28" s="1">
        <v>55</v>
      </c>
      <c r="E28" t="s">
        <v>31</v>
      </c>
      <c r="F28" s="1">
        <v>250</v>
      </c>
      <c r="G28" t="s">
        <v>33</v>
      </c>
      <c r="H28" s="3">
        <v>80</v>
      </c>
      <c r="I28" t="s">
        <v>102</v>
      </c>
      <c r="J28" s="3">
        <v>104</v>
      </c>
      <c r="K28" t="s">
        <v>232</v>
      </c>
      <c r="L28" s="6">
        <v>43830.675335648149</v>
      </c>
      <c r="M28" s="8">
        <f>IFERROR(Tabla_kronos_MCSIG_PEI[[#This Row],[SIA_CANTIDAD]]/Tabla_kronos_MCSIG_PEI[[#This Row],[SIP_CANTIDAD]],"Meta sin Valor")</f>
        <v>1.3</v>
      </c>
      <c r="N28" s="1" t="str">
        <f>IFERROR(IF(VLOOKUP(Tabla_kronos_MCSIG_PEI[[#This Row],[SIN_ID]],#REF!,1,0)&gt;0,"X","-"),"-")</f>
        <v>-</v>
      </c>
      <c r="O28"/>
    </row>
    <row r="29" spans="1:15" x14ac:dyDescent="0.3">
      <c r="A29" t="s">
        <v>87</v>
      </c>
      <c r="B29" s="1">
        <v>3</v>
      </c>
      <c r="C29" t="s">
        <v>19</v>
      </c>
      <c r="D29" s="1">
        <v>55</v>
      </c>
      <c r="E29" t="s">
        <v>31</v>
      </c>
      <c r="F29" s="1">
        <v>251</v>
      </c>
      <c r="G29" t="s">
        <v>88</v>
      </c>
      <c r="H29" s="3">
        <v>230</v>
      </c>
      <c r="I29" t="s">
        <v>102</v>
      </c>
      <c r="J29" s="3">
        <v>263</v>
      </c>
      <c r="K29" t="s">
        <v>225</v>
      </c>
      <c r="L29" s="6">
        <v>43829.660810185182</v>
      </c>
      <c r="M29" s="8">
        <f>IFERROR(Tabla_kronos_MCSIG_PEI[[#This Row],[SIA_CANTIDAD]]/Tabla_kronos_MCSIG_PEI[[#This Row],[SIP_CANTIDAD]],"Meta sin Valor")</f>
        <v>1.1434782608695653</v>
      </c>
      <c r="N29" s="1" t="str">
        <f>IFERROR(IF(VLOOKUP(Tabla_kronos_MCSIG_PEI[[#This Row],[SIN_ID]],#REF!,1,0)&gt;0,"X","-"),"-")</f>
        <v>-</v>
      </c>
      <c r="O29"/>
    </row>
    <row r="30" spans="1:15" x14ac:dyDescent="0.3">
      <c r="A30" t="s">
        <v>25</v>
      </c>
      <c r="B30" s="1">
        <v>3</v>
      </c>
      <c r="C30" t="s">
        <v>19</v>
      </c>
      <c r="D30" s="1">
        <v>54</v>
      </c>
      <c r="E30" t="s">
        <v>29</v>
      </c>
      <c r="F30" s="1">
        <v>248</v>
      </c>
      <c r="G30" t="s">
        <v>30</v>
      </c>
      <c r="H30" s="3">
        <v>2000000</v>
      </c>
      <c r="I30" t="s">
        <v>102</v>
      </c>
      <c r="J30" s="3">
        <v>2211031</v>
      </c>
      <c r="K30" t="s">
        <v>202</v>
      </c>
      <c r="L30" s="6">
        <v>43830.759467592594</v>
      </c>
      <c r="M30" s="8">
        <f>IFERROR(Tabla_kronos_MCSIG_PEI[[#This Row],[SIA_CANTIDAD]]/Tabla_kronos_MCSIG_PEI[[#This Row],[SIP_CANTIDAD]],"Meta sin Valor")</f>
        <v>1.1055155000000001</v>
      </c>
      <c r="N30" s="1" t="str">
        <f>IFERROR(IF(VLOOKUP(Tabla_kronos_MCSIG_PEI[[#This Row],[SIN_ID]],#REF!,1,0)&gt;0,"X","-"),"-")</f>
        <v>-</v>
      </c>
      <c r="O30"/>
    </row>
    <row r="31" spans="1:15" x14ac:dyDescent="0.3">
      <c r="A31" t="s">
        <v>133</v>
      </c>
      <c r="B31" s="1">
        <v>3</v>
      </c>
      <c r="C31" t="s">
        <v>19</v>
      </c>
      <c r="D31" s="1">
        <v>52</v>
      </c>
      <c r="E31" t="s">
        <v>20</v>
      </c>
      <c r="F31" s="1">
        <v>238</v>
      </c>
      <c r="G31" t="s">
        <v>134</v>
      </c>
      <c r="H31" s="3">
        <v>0</v>
      </c>
      <c r="I31" t="s">
        <v>102</v>
      </c>
      <c r="J31" s="3">
        <v>0</v>
      </c>
      <c r="K31" t="s">
        <v>135</v>
      </c>
      <c r="L31" s="6">
        <v>43830.447951388887</v>
      </c>
      <c r="M31" s="8" t="str">
        <f>IFERROR(Tabla_kronos_MCSIG_PEI[[#This Row],[SIA_CANTIDAD]]/Tabla_kronos_MCSIG_PEI[[#This Row],[SIP_CANTIDAD]],"Meta sin Valor")</f>
        <v>Meta sin Valor</v>
      </c>
      <c r="N31" s="1" t="str">
        <f>IFERROR(IF(VLOOKUP(Tabla_kronos_MCSIG_PEI[[#This Row],[SIN_ID]],#REF!,1,0)&gt;0,"X","-"),"-")</f>
        <v>-</v>
      </c>
      <c r="O31"/>
    </row>
    <row r="32" spans="1:15" x14ac:dyDescent="0.3">
      <c r="A32" t="s">
        <v>133</v>
      </c>
      <c r="B32" s="1">
        <v>3</v>
      </c>
      <c r="C32" t="s">
        <v>19</v>
      </c>
      <c r="D32" s="1">
        <v>52</v>
      </c>
      <c r="E32" t="s">
        <v>20</v>
      </c>
      <c r="F32" s="1">
        <v>239</v>
      </c>
      <c r="G32" t="s">
        <v>136</v>
      </c>
      <c r="H32" s="3">
        <v>0</v>
      </c>
      <c r="I32" t="s">
        <v>102</v>
      </c>
      <c r="J32" s="3">
        <v>0</v>
      </c>
      <c r="K32" t="s">
        <v>135</v>
      </c>
      <c r="L32" s="6">
        <v>43830.449872685182</v>
      </c>
      <c r="M32" s="8" t="str">
        <f>IFERROR(Tabla_kronos_MCSIG_PEI[[#This Row],[SIA_CANTIDAD]]/Tabla_kronos_MCSIG_PEI[[#This Row],[SIP_CANTIDAD]],"Meta sin Valor")</f>
        <v>Meta sin Valor</v>
      </c>
      <c r="N32" s="1" t="str">
        <f>IFERROR(IF(VLOOKUP(Tabla_kronos_MCSIG_PEI[[#This Row],[SIN_ID]],#REF!,1,0)&gt;0,"X","-"),"-")</f>
        <v>-</v>
      </c>
      <c r="O32"/>
    </row>
    <row r="33" spans="1:15" x14ac:dyDescent="0.3">
      <c r="A33" t="s">
        <v>133</v>
      </c>
      <c r="B33" s="1">
        <v>3</v>
      </c>
      <c r="C33" t="s">
        <v>19</v>
      </c>
      <c r="D33" s="1">
        <v>52</v>
      </c>
      <c r="E33" t="s">
        <v>20</v>
      </c>
      <c r="F33" s="1">
        <v>240</v>
      </c>
      <c r="G33" t="s">
        <v>21</v>
      </c>
      <c r="H33" s="3">
        <v>2800</v>
      </c>
      <c r="I33" t="s">
        <v>102</v>
      </c>
      <c r="J33" s="3">
        <v>2800</v>
      </c>
      <c r="K33" t="s">
        <v>185</v>
      </c>
      <c r="L33" s="6">
        <v>43799.451111111113</v>
      </c>
      <c r="M33" s="8">
        <f>IFERROR(Tabla_kronos_MCSIG_PEI[[#This Row],[SIA_CANTIDAD]]/Tabla_kronos_MCSIG_PEI[[#This Row],[SIP_CANTIDAD]],"Meta sin Valor")</f>
        <v>1</v>
      </c>
      <c r="N33" s="1" t="str">
        <f>IFERROR(IF(VLOOKUP(Tabla_kronos_MCSIG_PEI[[#This Row],[SIN_ID]],#REF!,1,0)&gt;0,"X","-"),"-")</f>
        <v>-</v>
      </c>
      <c r="O33"/>
    </row>
    <row r="34" spans="1:15" x14ac:dyDescent="0.3">
      <c r="A34" t="s">
        <v>6</v>
      </c>
      <c r="B34" s="1">
        <v>3</v>
      </c>
      <c r="C34" t="s">
        <v>19</v>
      </c>
      <c r="D34" s="1">
        <v>52</v>
      </c>
      <c r="E34" t="s">
        <v>20</v>
      </c>
      <c r="F34" s="1">
        <v>241</v>
      </c>
      <c r="G34" t="s">
        <v>22</v>
      </c>
      <c r="H34" s="3">
        <v>750000</v>
      </c>
      <c r="I34" t="s">
        <v>102</v>
      </c>
      <c r="J34" s="3">
        <v>1700038</v>
      </c>
      <c r="K34" t="s">
        <v>162</v>
      </c>
      <c r="L34" s="6">
        <v>43799.45753472222</v>
      </c>
      <c r="M34" s="8">
        <f>IFERROR(Tabla_kronos_MCSIG_PEI[[#This Row],[SIA_CANTIDAD]]/Tabla_kronos_MCSIG_PEI[[#This Row],[SIP_CANTIDAD]],"Meta sin Valor")</f>
        <v>2.2667173333333333</v>
      </c>
      <c r="N34" s="1" t="str">
        <f>IFERROR(IF(VLOOKUP(Tabla_kronos_MCSIG_PEI[[#This Row],[SIN_ID]],#REF!,1,0)&gt;0,"X","-"),"-")</f>
        <v>-</v>
      </c>
      <c r="O34"/>
    </row>
    <row r="35" spans="1:15" x14ac:dyDescent="0.3">
      <c r="A35" t="s">
        <v>133</v>
      </c>
      <c r="B35" s="1">
        <v>3</v>
      </c>
      <c r="C35" t="s">
        <v>19</v>
      </c>
      <c r="D35" s="1">
        <v>52</v>
      </c>
      <c r="E35" t="s">
        <v>20</v>
      </c>
      <c r="F35" s="1">
        <v>242</v>
      </c>
      <c r="G35" t="s">
        <v>84</v>
      </c>
      <c r="H35" s="3">
        <v>543</v>
      </c>
      <c r="I35" t="s">
        <v>102</v>
      </c>
      <c r="J35" s="3">
        <v>543</v>
      </c>
      <c r="K35" t="s">
        <v>137</v>
      </c>
      <c r="L35" s="6">
        <v>43830.460856481484</v>
      </c>
      <c r="M35" s="8">
        <f>IFERROR(Tabla_kronos_MCSIG_PEI[[#This Row],[SIA_CANTIDAD]]/Tabla_kronos_MCSIG_PEI[[#This Row],[SIP_CANTIDAD]],"Meta sin Valor")</f>
        <v>1</v>
      </c>
      <c r="N35" s="1" t="str">
        <f>IFERROR(IF(VLOOKUP(Tabla_kronos_MCSIG_PEI[[#This Row],[SIN_ID]],#REF!,1,0)&gt;0,"X","-"),"-")</f>
        <v>-</v>
      </c>
      <c r="O35"/>
    </row>
    <row r="36" spans="1:15" x14ac:dyDescent="0.3">
      <c r="A36" t="s">
        <v>3</v>
      </c>
      <c r="B36" s="1">
        <v>4</v>
      </c>
      <c r="C36" t="s">
        <v>34</v>
      </c>
      <c r="D36" s="1">
        <v>56</v>
      </c>
      <c r="E36" t="s">
        <v>186</v>
      </c>
      <c r="F36" s="1">
        <v>252</v>
      </c>
      <c r="G36" t="s">
        <v>35</v>
      </c>
      <c r="H36" s="3">
        <v>3</v>
      </c>
      <c r="I36" t="s">
        <v>102</v>
      </c>
      <c r="J36" s="3">
        <v>2</v>
      </c>
      <c r="K36" t="s">
        <v>234</v>
      </c>
      <c r="L36" s="6">
        <v>43830.645520833335</v>
      </c>
      <c r="M36" s="8">
        <f>IFERROR(Tabla_kronos_MCSIG_PEI[[#This Row],[SIA_CANTIDAD]]/Tabla_kronos_MCSIG_PEI[[#This Row],[SIP_CANTIDAD]],"Meta sin Valor")</f>
        <v>0.66666666666666663</v>
      </c>
      <c r="N36" s="1" t="str">
        <f>IFERROR(IF(VLOOKUP(Tabla_kronos_MCSIG_PEI[[#This Row],[SIN_ID]],#REF!,1,0)&gt;0,"X","-"),"-")</f>
        <v>-</v>
      </c>
      <c r="O36"/>
    </row>
    <row r="37" spans="1:15" x14ac:dyDescent="0.3">
      <c r="A37" t="s">
        <v>36</v>
      </c>
      <c r="B37" s="1">
        <v>4</v>
      </c>
      <c r="C37" t="s">
        <v>34</v>
      </c>
      <c r="D37" s="1">
        <v>57</v>
      </c>
      <c r="E37" t="s">
        <v>203</v>
      </c>
      <c r="F37" s="1">
        <v>253</v>
      </c>
      <c r="G37" t="s">
        <v>37</v>
      </c>
      <c r="H37" s="3">
        <v>10000000000</v>
      </c>
      <c r="I37" t="s">
        <v>102</v>
      </c>
      <c r="J37" s="3">
        <v>11359904293</v>
      </c>
      <c r="K37" t="s">
        <v>160</v>
      </c>
      <c r="L37" s="6">
        <v>43799.495462962965</v>
      </c>
      <c r="M37" s="8">
        <f>IFERROR(Tabla_kronos_MCSIG_PEI[[#This Row],[SIA_CANTIDAD]]/Tabla_kronos_MCSIG_PEI[[#This Row],[SIP_CANTIDAD]],"Meta sin Valor")</f>
        <v>1.1359904293</v>
      </c>
      <c r="N37" s="1" t="str">
        <f>IFERROR(IF(VLOOKUP(Tabla_kronos_MCSIG_PEI[[#This Row],[SIN_ID]],#REF!,1,0)&gt;0,"X","-"),"-")</f>
        <v>-</v>
      </c>
      <c r="O37"/>
    </row>
    <row r="38" spans="1:15" x14ac:dyDescent="0.3">
      <c r="A38" t="s">
        <v>10</v>
      </c>
      <c r="B38" s="1">
        <v>4</v>
      </c>
      <c r="C38" t="s">
        <v>34</v>
      </c>
      <c r="D38" s="1">
        <v>57</v>
      </c>
      <c r="E38" t="s">
        <v>203</v>
      </c>
      <c r="F38" s="1">
        <v>254</v>
      </c>
      <c r="G38" t="s">
        <v>89</v>
      </c>
      <c r="H38" s="3">
        <v>70</v>
      </c>
      <c r="I38" t="s">
        <v>102</v>
      </c>
      <c r="J38" s="3">
        <v>86</v>
      </c>
      <c r="K38" t="s">
        <v>231</v>
      </c>
      <c r="L38" s="6">
        <v>43830.550949074073</v>
      </c>
      <c r="M38" s="8">
        <f>IFERROR(Tabla_kronos_MCSIG_PEI[[#This Row],[SIA_CANTIDAD]]/Tabla_kronos_MCSIG_PEI[[#This Row],[SIP_CANTIDAD]],"Meta sin Valor")</f>
        <v>1.2285714285714286</v>
      </c>
      <c r="N38" s="1" t="str">
        <f>IFERROR(IF(VLOOKUP(Tabla_kronos_MCSIG_PEI[[#This Row],[SIN_ID]],#REF!,1,0)&gt;0,"X","-"),"-")</f>
        <v>-</v>
      </c>
      <c r="O38"/>
    </row>
    <row r="39" spans="1:15" x14ac:dyDescent="0.3">
      <c r="A39" t="s">
        <v>6</v>
      </c>
      <c r="B39" s="1">
        <v>5</v>
      </c>
      <c r="C39" t="s">
        <v>38</v>
      </c>
      <c r="D39" s="1">
        <v>60</v>
      </c>
      <c r="E39" t="s">
        <v>41</v>
      </c>
      <c r="F39" s="1">
        <v>259</v>
      </c>
      <c r="G39" t="s">
        <v>42</v>
      </c>
      <c r="H39" s="3">
        <v>1</v>
      </c>
      <c r="I39" t="s">
        <v>102</v>
      </c>
      <c r="J39" s="3">
        <v>1</v>
      </c>
      <c r="K39" t="s">
        <v>214</v>
      </c>
      <c r="L39" s="6">
        <v>43830.406053240738</v>
      </c>
      <c r="M39" s="8">
        <f>IFERROR(Tabla_kronos_MCSIG_PEI[[#This Row],[SIA_CANTIDAD]]/Tabla_kronos_MCSIG_PEI[[#This Row],[SIP_CANTIDAD]],"Meta sin Valor")</f>
        <v>1</v>
      </c>
      <c r="N39" s="1" t="str">
        <f>IFERROR(IF(VLOOKUP(Tabla_kronos_MCSIG_PEI[[#This Row],[SIN_ID]],#REF!,1,0)&gt;0,"X","-"),"-")</f>
        <v>-</v>
      </c>
      <c r="O39"/>
    </row>
    <row r="40" spans="1:15" x14ac:dyDescent="0.3">
      <c r="A40" t="s">
        <v>12</v>
      </c>
      <c r="B40" s="1">
        <v>5</v>
      </c>
      <c r="C40" t="s">
        <v>38</v>
      </c>
      <c r="D40" s="1">
        <v>60</v>
      </c>
      <c r="E40" t="s">
        <v>41</v>
      </c>
      <c r="F40" s="1">
        <v>290</v>
      </c>
      <c r="G40" t="s">
        <v>138</v>
      </c>
      <c r="H40" s="3">
        <v>10</v>
      </c>
      <c r="I40" t="s">
        <v>102</v>
      </c>
      <c r="J40" s="3">
        <v>10</v>
      </c>
      <c r="K40" t="s">
        <v>221</v>
      </c>
      <c r="L40" s="6">
        <v>43830.495787037034</v>
      </c>
      <c r="M40" s="8">
        <f>IFERROR(Tabla_kronos_MCSIG_PEI[[#This Row],[SIA_CANTIDAD]]/Tabla_kronos_MCSIG_PEI[[#This Row],[SIP_CANTIDAD]],"Meta sin Valor")</f>
        <v>1</v>
      </c>
      <c r="N40" s="1" t="str">
        <f>IFERROR(IF(VLOOKUP(Tabla_kronos_MCSIG_PEI[[#This Row],[SIN_ID]],#REF!,1,0)&gt;0,"X","-"),"-")</f>
        <v>-</v>
      </c>
      <c r="O40"/>
    </row>
    <row r="41" spans="1:15" x14ac:dyDescent="0.3">
      <c r="A41" t="s">
        <v>6</v>
      </c>
      <c r="B41" s="1">
        <v>5</v>
      </c>
      <c r="C41" t="s">
        <v>38</v>
      </c>
      <c r="D41" s="1">
        <v>60</v>
      </c>
      <c r="E41" t="s">
        <v>41</v>
      </c>
      <c r="F41" s="1">
        <v>309</v>
      </c>
      <c r="G41" t="s">
        <v>90</v>
      </c>
      <c r="H41" s="3">
        <v>100</v>
      </c>
      <c r="I41" t="s">
        <v>102</v>
      </c>
      <c r="J41" s="3">
        <v>100</v>
      </c>
      <c r="K41" t="s">
        <v>139</v>
      </c>
      <c r="L41" s="6">
        <v>43830.406319444446</v>
      </c>
      <c r="M41" s="8">
        <f>IFERROR(Tabla_kronos_MCSIG_PEI[[#This Row],[SIA_CANTIDAD]]/Tabla_kronos_MCSIG_PEI[[#This Row],[SIP_CANTIDAD]],"Meta sin Valor")</f>
        <v>1</v>
      </c>
      <c r="N41" s="1" t="str">
        <f>IFERROR(IF(VLOOKUP(Tabla_kronos_MCSIG_PEI[[#This Row],[SIN_ID]],#REF!,1,0)&gt;0,"X","-"),"-")</f>
        <v>-</v>
      </c>
      <c r="O41"/>
    </row>
    <row r="42" spans="1:15" x14ac:dyDescent="0.3">
      <c r="A42" t="s">
        <v>140</v>
      </c>
      <c r="B42" s="1">
        <v>5</v>
      </c>
      <c r="C42" t="s">
        <v>38</v>
      </c>
      <c r="D42" s="1">
        <v>58</v>
      </c>
      <c r="E42" t="s">
        <v>39</v>
      </c>
      <c r="F42" s="1">
        <v>255</v>
      </c>
      <c r="G42" t="s">
        <v>141</v>
      </c>
      <c r="H42" s="3">
        <v>81</v>
      </c>
      <c r="I42" t="s">
        <v>102</v>
      </c>
      <c r="J42" s="3">
        <v>81</v>
      </c>
      <c r="K42" t="s">
        <v>210</v>
      </c>
      <c r="L42" s="6">
        <v>43799.647974537038</v>
      </c>
      <c r="M42" s="8">
        <f>IFERROR(Tabla_kronos_MCSIG_PEI[[#This Row],[SIA_CANTIDAD]]/Tabla_kronos_MCSIG_PEI[[#This Row],[SIP_CANTIDAD]],"Meta sin Valor")</f>
        <v>1</v>
      </c>
      <c r="N42" s="1" t="str">
        <f>IFERROR(IF(VLOOKUP(Tabla_kronos_MCSIG_PEI[[#This Row],[SIN_ID]],#REF!,1,0)&gt;0,"X","-"),"-")</f>
        <v>-</v>
      </c>
      <c r="O42"/>
    </row>
    <row r="43" spans="1:15" x14ac:dyDescent="0.3">
      <c r="A43" t="s">
        <v>142</v>
      </c>
      <c r="B43" s="1">
        <v>5</v>
      </c>
      <c r="C43" t="s">
        <v>38</v>
      </c>
      <c r="D43" s="1">
        <v>58</v>
      </c>
      <c r="E43" t="s">
        <v>39</v>
      </c>
      <c r="F43" s="1">
        <v>256</v>
      </c>
      <c r="G43" t="s">
        <v>143</v>
      </c>
      <c r="H43" s="3">
        <v>0</v>
      </c>
      <c r="I43" t="s">
        <v>102</v>
      </c>
      <c r="J43" s="3">
        <v>0</v>
      </c>
      <c r="K43" t="s">
        <v>226</v>
      </c>
      <c r="L43" s="6">
        <v>43654.482708333337</v>
      </c>
      <c r="M43" s="8" t="str">
        <f>IFERROR(Tabla_kronos_MCSIG_PEI[[#This Row],[SIA_CANTIDAD]]/Tabla_kronos_MCSIG_PEI[[#This Row],[SIP_CANTIDAD]],"Meta sin Valor")</f>
        <v>Meta sin Valor</v>
      </c>
      <c r="N43" s="1" t="str">
        <f>IFERROR(IF(VLOOKUP(Tabla_kronos_MCSIG_PEI[[#This Row],[SIN_ID]],#REF!,1,0)&gt;0,"X","-"),"-")</f>
        <v>-</v>
      </c>
      <c r="O43"/>
    </row>
    <row r="44" spans="1:15" x14ac:dyDescent="0.3">
      <c r="A44" t="s">
        <v>142</v>
      </c>
      <c r="B44" s="1">
        <v>5</v>
      </c>
      <c r="C44" t="s">
        <v>38</v>
      </c>
      <c r="D44" s="1">
        <v>58</v>
      </c>
      <c r="E44" t="s">
        <v>39</v>
      </c>
      <c r="F44" s="1">
        <v>257</v>
      </c>
      <c r="G44" t="s">
        <v>40</v>
      </c>
      <c r="H44" s="3">
        <v>82</v>
      </c>
      <c r="I44" t="s">
        <v>102</v>
      </c>
      <c r="J44" s="3">
        <v>82</v>
      </c>
      <c r="K44" t="s">
        <v>227</v>
      </c>
      <c r="L44" s="6">
        <v>43654.488321759258</v>
      </c>
      <c r="M44" s="8">
        <f>IFERROR(Tabla_kronos_MCSIG_PEI[[#This Row],[SIA_CANTIDAD]]/Tabla_kronos_MCSIG_PEI[[#This Row],[SIP_CANTIDAD]],"Meta sin Valor")</f>
        <v>1</v>
      </c>
      <c r="N44" s="1" t="str">
        <f>IFERROR(IF(VLOOKUP(Tabla_kronos_MCSIG_PEI[[#This Row],[SIN_ID]],#REF!,1,0)&gt;0,"X","-"),"-")</f>
        <v>-</v>
      </c>
      <c r="O44"/>
    </row>
    <row r="45" spans="1:15" x14ac:dyDescent="0.3">
      <c r="A45" t="s">
        <v>12</v>
      </c>
      <c r="B45" s="1">
        <v>5</v>
      </c>
      <c r="C45" t="s">
        <v>38</v>
      </c>
      <c r="D45" s="1">
        <v>58</v>
      </c>
      <c r="E45" t="s">
        <v>39</v>
      </c>
      <c r="F45" s="1">
        <v>308</v>
      </c>
      <c r="G45" t="s">
        <v>144</v>
      </c>
      <c r="H45" s="3">
        <v>0</v>
      </c>
      <c r="I45" t="s">
        <v>102</v>
      </c>
      <c r="J45" s="3"/>
      <c r="L45" s="6"/>
      <c r="M45" s="8" t="str">
        <f>IFERROR(Tabla_kronos_MCSIG_PEI[[#This Row],[SIA_CANTIDAD]]/Tabla_kronos_MCSIG_PEI[[#This Row],[SIP_CANTIDAD]],"Meta sin Valor")</f>
        <v>Meta sin Valor</v>
      </c>
      <c r="N45" s="1" t="str">
        <f>IFERROR(IF(VLOOKUP(Tabla_kronos_MCSIG_PEI[[#This Row],[SIN_ID]],#REF!,1,0)&gt;0,"X","-"),"-")</f>
        <v>-</v>
      </c>
      <c r="O45"/>
    </row>
    <row r="46" spans="1:15" x14ac:dyDescent="0.3">
      <c r="A46" t="s">
        <v>5</v>
      </c>
      <c r="B46" s="1">
        <v>6</v>
      </c>
      <c r="C46" t="s">
        <v>43</v>
      </c>
      <c r="D46" s="1">
        <v>62</v>
      </c>
      <c r="E46" t="s">
        <v>47</v>
      </c>
      <c r="F46" s="1">
        <v>262</v>
      </c>
      <c r="G46" t="s">
        <v>145</v>
      </c>
      <c r="H46" s="3">
        <v>6</v>
      </c>
      <c r="I46" t="s">
        <v>102</v>
      </c>
      <c r="J46" s="3">
        <v>6</v>
      </c>
      <c r="K46" t="s">
        <v>163</v>
      </c>
      <c r="L46" s="6">
        <v>43830.659363425926</v>
      </c>
      <c r="M46" s="8">
        <f>IFERROR(Tabla_kronos_MCSIG_PEI[[#This Row],[SIA_CANTIDAD]]/Tabla_kronos_MCSIG_PEI[[#This Row],[SIP_CANTIDAD]],"Meta sin Valor")</f>
        <v>1</v>
      </c>
      <c r="N46" s="1" t="str">
        <f>IFERROR(IF(VLOOKUP(Tabla_kronos_MCSIG_PEI[[#This Row],[SIN_ID]],#REF!,1,0)&gt;0,"X","-"),"-")</f>
        <v>-</v>
      </c>
      <c r="O46"/>
    </row>
    <row r="47" spans="1:15" x14ac:dyDescent="0.3">
      <c r="A47" t="s">
        <v>5</v>
      </c>
      <c r="B47" s="1">
        <v>6</v>
      </c>
      <c r="C47" t="s">
        <v>43</v>
      </c>
      <c r="D47" s="1">
        <v>62</v>
      </c>
      <c r="E47" t="s">
        <v>47</v>
      </c>
      <c r="F47" s="1">
        <v>263</v>
      </c>
      <c r="G47" t="s">
        <v>48</v>
      </c>
      <c r="H47" s="3">
        <v>1145</v>
      </c>
      <c r="I47" t="s">
        <v>102</v>
      </c>
      <c r="J47" s="3">
        <v>1145</v>
      </c>
      <c r="K47" t="s">
        <v>164</v>
      </c>
      <c r="L47" s="6">
        <v>43830.66033564815</v>
      </c>
      <c r="M47" s="8">
        <f>IFERROR(Tabla_kronos_MCSIG_PEI[[#This Row],[SIA_CANTIDAD]]/Tabla_kronos_MCSIG_PEI[[#This Row],[SIP_CANTIDAD]],"Meta sin Valor")</f>
        <v>1</v>
      </c>
      <c r="N47" s="1" t="str">
        <f>IFERROR(IF(VLOOKUP(Tabla_kronos_MCSIG_PEI[[#This Row],[SIN_ID]],#REF!,1,0)&gt;0,"X","-"),"-")</f>
        <v>-</v>
      </c>
      <c r="O47"/>
    </row>
    <row r="48" spans="1:15" x14ac:dyDescent="0.3">
      <c r="A48" t="s">
        <v>6</v>
      </c>
      <c r="B48" s="1">
        <v>6</v>
      </c>
      <c r="C48" t="s">
        <v>43</v>
      </c>
      <c r="D48" s="1">
        <v>62</v>
      </c>
      <c r="E48" t="s">
        <v>47</v>
      </c>
      <c r="F48" s="1">
        <v>264</v>
      </c>
      <c r="G48" t="s">
        <v>146</v>
      </c>
      <c r="H48" s="3">
        <v>2</v>
      </c>
      <c r="I48" t="s">
        <v>102</v>
      </c>
      <c r="J48" s="3">
        <v>2</v>
      </c>
      <c r="K48" t="s">
        <v>215</v>
      </c>
      <c r="L48" s="6">
        <v>43830.428194444445</v>
      </c>
      <c r="M48" s="8">
        <f>IFERROR(Tabla_kronos_MCSIG_PEI[[#This Row],[SIA_CANTIDAD]]/Tabla_kronos_MCSIG_PEI[[#This Row],[SIP_CANTIDAD]],"Meta sin Valor")</f>
        <v>1</v>
      </c>
      <c r="N48" s="1" t="str">
        <f>IFERROR(IF(VLOOKUP(Tabla_kronos_MCSIG_PEI[[#This Row],[SIN_ID]],#REF!,1,0)&gt;0,"X","-"),"-")</f>
        <v>-</v>
      </c>
      <c r="O48"/>
    </row>
    <row r="49" spans="1:15" x14ac:dyDescent="0.3">
      <c r="A49" t="s">
        <v>142</v>
      </c>
      <c r="B49" s="1">
        <v>6</v>
      </c>
      <c r="C49" t="s">
        <v>43</v>
      </c>
      <c r="D49" s="1">
        <v>64</v>
      </c>
      <c r="E49" t="s">
        <v>92</v>
      </c>
      <c r="F49" s="1">
        <v>267</v>
      </c>
      <c r="G49" t="s">
        <v>49</v>
      </c>
      <c r="H49" s="3">
        <v>12</v>
      </c>
      <c r="I49" t="s">
        <v>102</v>
      </c>
      <c r="J49" s="3">
        <v>12</v>
      </c>
      <c r="K49" t="s">
        <v>228</v>
      </c>
      <c r="L49" s="6">
        <v>43654.490081018521</v>
      </c>
      <c r="M49" s="8">
        <f>IFERROR(Tabla_kronos_MCSIG_PEI[[#This Row],[SIA_CANTIDAD]]/Tabla_kronos_MCSIG_PEI[[#This Row],[SIP_CANTIDAD]],"Meta sin Valor")</f>
        <v>1</v>
      </c>
      <c r="N49" s="1" t="str">
        <f>IFERROR(IF(VLOOKUP(Tabla_kronos_MCSIG_PEI[[#This Row],[SIN_ID]],#REF!,1,0)&gt;0,"X","-"),"-")</f>
        <v>-</v>
      </c>
      <c r="O49"/>
    </row>
    <row r="50" spans="1:15" x14ac:dyDescent="0.3">
      <c r="A50" t="s">
        <v>12</v>
      </c>
      <c r="B50" s="1">
        <v>6</v>
      </c>
      <c r="C50" t="s">
        <v>43</v>
      </c>
      <c r="D50" s="1">
        <v>67</v>
      </c>
      <c r="E50" t="s">
        <v>96</v>
      </c>
      <c r="F50" s="1">
        <v>297</v>
      </c>
      <c r="G50" t="s">
        <v>56</v>
      </c>
      <c r="H50" s="3">
        <v>100</v>
      </c>
      <c r="I50" t="s">
        <v>102</v>
      </c>
      <c r="J50" s="3">
        <v>100</v>
      </c>
      <c r="K50" t="s">
        <v>233</v>
      </c>
      <c r="L50" s="6">
        <v>43830.727430555555</v>
      </c>
      <c r="M50" s="8">
        <f>IFERROR(Tabla_kronos_MCSIG_PEI[[#This Row],[SIA_CANTIDAD]]/Tabla_kronos_MCSIG_PEI[[#This Row],[SIP_CANTIDAD]],"Meta sin Valor")</f>
        <v>1</v>
      </c>
      <c r="N50" s="1" t="str">
        <f>IFERROR(IF(VLOOKUP(Tabla_kronos_MCSIG_PEI[[#This Row],[SIN_ID]],#REF!,1,0)&gt;0,"X","-"),"-")</f>
        <v>-</v>
      </c>
      <c r="O50"/>
    </row>
    <row r="51" spans="1:15" x14ac:dyDescent="0.3">
      <c r="A51" t="s">
        <v>6</v>
      </c>
      <c r="B51" s="1">
        <v>6</v>
      </c>
      <c r="C51" t="s">
        <v>43</v>
      </c>
      <c r="D51" s="1">
        <v>67</v>
      </c>
      <c r="E51" t="s">
        <v>96</v>
      </c>
      <c r="F51" s="1">
        <v>310</v>
      </c>
      <c r="G51" t="s">
        <v>57</v>
      </c>
      <c r="H51" s="3">
        <v>800000</v>
      </c>
      <c r="I51" t="s">
        <v>102</v>
      </c>
      <c r="J51" s="3">
        <v>800000</v>
      </c>
      <c r="K51" t="s">
        <v>165</v>
      </c>
      <c r="L51" s="6">
        <v>43830.429386574076</v>
      </c>
      <c r="M51" s="8">
        <f>IFERROR(Tabla_kronos_MCSIG_PEI[[#This Row],[SIA_CANTIDAD]]/Tabla_kronos_MCSIG_PEI[[#This Row],[SIP_CANTIDAD]],"Meta sin Valor")</f>
        <v>1</v>
      </c>
      <c r="N51" s="1" t="str">
        <f>IFERROR(IF(VLOOKUP(Tabla_kronos_MCSIG_PEI[[#This Row],[SIN_ID]],#REF!,1,0)&gt;0,"X","-"),"-")</f>
        <v>-</v>
      </c>
      <c r="O51"/>
    </row>
    <row r="52" spans="1:15" x14ac:dyDescent="0.3">
      <c r="A52" t="s">
        <v>5</v>
      </c>
      <c r="B52" s="1">
        <v>6</v>
      </c>
      <c r="C52" t="s">
        <v>43</v>
      </c>
      <c r="D52" s="1">
        <v>61</v>
      </c>
      <c r="E52" t="s">
        <v>44</v>
      </c>
      <c r="F52" s="1">
        <v>260</v>
      </c>
      <c r="G52" t="s">
        <v>45</v>
      </c>
      <c r="H52" s="3">
        <v>11</v>
      </c>
      <c r="I52" t="s">
        <v>102</v>
      </c>
      <c r="J52" s="3">
        <v>11</v>
      </c>
      <c r="K52" t="s">
        <v>166</v>
      </c>
      <c r="L52" s="6">
        <v>43830.654224537036</v>
      </c>
      <c r="M52" s="8">
        <f>IFERROR(Tabla_kronos_MCSIG_PEI[[#This Row],[SIA_CANTIDAD]]/Tabla_kronos_MCSIG_PEI[[#This Row],[SIP_CANTIDAD]],"Meta sin Valor")</f>
        <v>1</v>
      </c>
      <c r="N52" s="1" t="str">
        <f>IFERROR(IF(VLOOKUP(Tabla_kronos_MCSIG_PEI[[#This Row],[SIN_ID]],#REF!,1,0)&gt;0,"X","-"),"-")</f>
        <v>-</v>
      </c>
      <c r="O52"/>
    </row>
    <row r="53" spans="1:15" x14ac:dyDescent="0.3">
      <c r="A53" t="s">
        <v>5</v>
      </c>
      <c r="B53" s="1">
        <v>6</v>
      </c>
      <c r="C53" t="s">
        <v>43</v>
      </c>
      <c r="D53" s="1">
        <v>61</v>
      </c>
      <c r="E53" t="s">
        <v>44</v>
      </c>
      <c r="F53" s="1">
        <v>261</v>
      </c>
      <c r="G53" t="s">
        <v>46</v>
      </c>
      <c r="H53" s="3">
        <v>21</v>
      </c>
      <c r="I53" t="s">
        <v>102</v>
      </c>
      <c r="J53" s="3">
        <v>21</v>
      </c>
      <c r="K53" t="s">
        <v>177</v>
      </c>
      <c r="L53" s="6">
        <v>43830.655578703707</v>
      </c>
      <c r="M53" s="8">
        <f>IFERROR(Tabla_kronos_MCSIG_PEI[[#This Row],[SIA_CANTIDAD]]/Tabla_kronos_MCSIG_PEI[[#This Row],[SIP_CANTIDAD]],"Meta sin Valor")</f>
        <v>1</v>
      </c>
      <c r="N53" s="1" t="str">
        <f>IFERROR(IF(VLOOKUP(Tabla_kronos_MCSIG_PEI[[#This Row],[SIN_ID]],#REF!,1,0)&gt;0,"X","-"),"-")</f>
        <v>-</v>
      </c>
      <c r="O53"/>
    </row>
    <row r="54" spans="1:15" x14ac:dyDescent="0.3">
      <c r="A54" t="s">
        <v>5</v>
      </c>
      <c r="B54" s="1">
        <v>6</v>
      </c>
      <c r="C54" t="s">
        <v>43</v>
      </c>
      <c r="D54" s="1">
        <v>63</v>
      </c>
      <c r="E54" t="s">
        <v>91</v>
      </c>
      <c r="F54" s="1">
        <v>265</v>
      </c>
      <c r="G54" t="s">
        <v>147</v>
      </c>
      <c r="H54" s="3">
        <v>55</v>
      </c>
      <c r="I54" t="s">
        <v>102</v>
      </c>
      <c r="J54" s="3">
        <v>55</v>
      </c>
      <c r="K54" t="s">
        <v>178</v>
      </c>
      <c r="L54" s="6">
        <v>43830.663460648146</v>
      </c>
      <c r="M54" s="8">
        <f>IFERROR(Tabla_kronos_MCSIG_PEI[[#This Row],[SIA_CANTIDAD]]/Tabla_kronos_MCSIG_PEI[[#This Row],[SIP_CANTIDAD]],"Meta sin Valor")</f>
        <v>1</v>
      </c>
      <c r="N54" s="1" t="str">
        <f>IFERROR(IF(VLOOKUP(Tabla_kronos_MCSIG_PEI[[#This Row],[SIN_ID]],#REF!,1,0)&gt;0,"X","-"),"-")</f>
        <v>-</v>
      </c>
      <c r="O54"/>
    </row>
    <row r="55" spans="1:15" x14ac:dyDescent="0.3">
      <c r="A55" t="s">
        <v>5</v>
      </c>
      <c r="B55" s="1">
        <v>6</v>
      </c>
      <c r="C55" t="s">
        <v>43</v>
      </c>
      <c r="D55" s="1">
        <v>63</v>
      </c>
      <c r="E55" t="s">
        <v>91</v>
      </c>
      <c r="F55" s="1">
        <v>266</v>
      </c>
      <c r="G55" t="s">
        <v>190</v>
      </c>
      <c r="H55" s="3">
        <v>67</v>
      </c>
      <c r="I55" t="s">
        <v>102</v>
      </c>
      <c r="J55" s="3">
        <v>67</v>
      </c>
      <c r="K55" t="s">
        <v>179</v>
      </c>
      <c r="L55" s="6">
        <v>43830.66474537037</v>
      </c>
      <c r="M55" s="8">
        <f>IFERROR(Tabla_kronos_MCSIG_PEI[[#This Row],[SIA_CANTIDAD]]/Tabla_kronos_MCSIG_PEI[[#This Row],[SIP_CANTIDAD]],"Meta sin Valor")</f>
        <v>1</v>
      </c>
      <c r="N55" s="1" t="str">
        <f>IFERROR(IF(VLOOKUP(Tabla_kronos_MCSIG_PEI[[#This Row],[SIN_ID]],#REF!,1,0)&gt;0,"X","-"),"-")</f>
        <v>-</v>
      </c>
      <c r="O55"/>
    </row>
    <row r="56" spans="1:15" x14ac:dyDescent="0.3">
      <c r="A56" t="s">
        <v>133</v>
      </c>
      <c r="B56" s="1">
        <v>7</v>
      </c>
      <c r="C56" t="s">
        <v>50</v>
      </c>
      <c r="D56" s="1">
        <v>68</v>
      </c>
      <c r="E56" t="s">
        <v>180</v>
      </c>
      <c r="F56" s="1">
        <v>275</v>
      </c>
      <c r="G56" t="s">
        <v>97</v>
      </c>
      <c r="H56" s="3">
        <v>150</v>
      </c>
      <c r="I56" t="s">
        <v>102</v>
      </c>
      <c r="J56" s="3">
        <v>150</v>
      </c>
      <c r="K56" t="s">
        <v>187</v>
      </c>
      <c r="L56" s="6">
        <v>43830.46702546296</v>
      </c>
      <c r="M56" s="8">
        <f>IFERROR(Tabla_kronos_MCSIG_PEI[[#This Row],[SIA_CANTIDAD]]/Tabla_kronos_MCSIG_PEI[[#This Row],[SIP_CANTIDAD]],"Meta sin Valor")</f>
        <v>1</v>
      </c>
      <c r="N56" s="1" t="str">
        <f>IFERROR(IF(VLOOKUP(Tabla_kronos_MCSIG_PEI[[#This Row],[SIN_ID]],#REF!,1,0)&gt;0,"X","-"),"-")</f>
        <v>-</v>
      </c>
      <c r="O56"/>
    </row>
    <row r="57" spans="1:15" x14ac:dyDescent="0.3">
      <c r="A57" t="s">
        <v>142</v>
      </c>
      <c r="B57" s="1">
        <v>7</v>
      </c>
      <c r="C57" t="s">
        <v>50</v>
      </c>
      <c r="D57" s="1">
        <v>68</v>
      </c>
      <c r="E57" t="s">
        <v>180</v>
      </c>
      <c r="F57" s="1">
        <v>276</v>
      </c>
      <c r="G57" t="s">
        <v>191</v>
      </c>
      <c r="H57" s="3">
        <v>8</v>
      </c>
      <c r="I57" t="s">
        <v>102</v>
      </c>
      <c r="J57" s="3">
        <v>8</v>
      </c>
      <c r="K57" t="s">
        <v>229</v>
      </c>
      <c r="L57" s="6">
        <v>43654.491875</v>
      </c>
      <c r="M57" s="8">
        <f>IFERROR(Tabla_kronos_MCSIG_PEI[[#This Row],[SIA_CANTIDAD]]/Tabla_kronos_MCSIG_PEI[[#This Row],[SIP_CANTIDAD]],"Meta sin Valor")</f>
        <v>1</v>
      </c>
      <c r="N57" s="1" t="str">
        <f>IFERROR(IF(VLOOKUP(Tabla_kronos_MCSIG_PEI[[#This Row],[SIN_ID]],#REF!,1,0)&gt;0,"X","-"),"-")</f>
        <v>-</v>
      </c>
      <c r="O57"/>
    </row>
    <row r="58" spans="1:15" x14ac:dyDescent="0.3">
      <c r="A58" t="s">
        <v>148</v>
      </c>
      <c r="B58" s="1">
        <v>7</v>
      </c>
      <c r="C58" t="s">
        <v>50</v>
      </c>
      <c r="D58" s="1">
        <v>65</v>
      </c>
      <c r="E58" t="s">
        <v>93</v>
      </c>
      <c r="F58" s="1">
        <v>268</v>
      </c>
      <c r="G58" t="s">
        <v>51</v>
      </c>
      <c r="H58" s="3">
        <v>4350</v>
      </c>
      <c r="I58" t="s">
        <v>102</v>
      </c>
      <c r="J58" s="3">
        <v>4350</v>
      </c>
      <c r="K58" t="s">
        <v>204</v>
      </c>
      <c r="L58" s="6">
        <v>43830.618379629632</v>
      </c>
      <c r="M58" s="8">
        <f>IFERROR(Tabla_kronos_MCSIG_PEI[[#This Row],[SIA_CANTIDAD]]/Tabla_kronos_MCSIG_PEI[[#This Row],[SIP_CANTIDAD]],"Meta sin Valor")</f>
        <v>1</v>
      </c>
      <c r="N58" s="1" t="str">
        <f>IFERROR(IF(VLOOKUP(Tabla_kronos_MCSIG_PEI[[#This Row],[SIN_ID]],#REF!,1,0)&gt;0,"X","-"),"-")</f>
        <v>-</v>
      </c>
      <c r="O58"/>
    </row>
    <row r="59" spans="1:15" x14ac:dyDescent="0.3">
      <c r="A59" t="s">
        <v>148</v>
      </c>
      <c r="B59" s="1">
        <v>7</v>
      </c>
      <c r="C59" t="s">
        <v>50</v>
      </c>
      <c r="D59" s="1">
        <v>65</v>
      </c>
      <c r="E59" t="s">
        <v>93</v>
      </c>
      <c r="F59" s="1">
        <v>269</v>
      </c>
      <c r="G59" t="s">
        <v>94</v>
      </c>
      <c r="H59" s="3">
        <v>20</v>
      </c>
      <c r="I59" t="s">
        <v>102</v>
      </c>
      <c r="J59" s="3">
        <v>20</v>
      </c>
      <c r="K59" t="s">
        <v>161</v>
      </c>
      <c r="L59" s="6">
        <v>43830.628125000003</v>
      </c>
      <c r="M59" s="8">
        <f>IFERROR(Tabla_kronos_MCSIG_PEI[[#This Row],[SIA_CANTIDAD]]/Tabla_kronos_MCSIG_PEI[[#This Row],[SIP_CANTIDAD]],"Meta sin Valor")</f>
        <v>1</v>
      </c>
      <c r="N59" s="1" t="str">
        <f>IFERROR(IF(VLOOKUP(Tabla_kronos_MCSIG_PEI[[#This Row],[SIN_ID]],#REF!,1,0)&gt;0,"X","-"),"-")</f>
        <v>-</v>
      </c>
      <c r="O59"/>
    </row>
    <row r="60" spans="1:15" x14ac:dyDescent="0.3">
      <c r="A60" t="s">
        <v>149</v>
      </c>
      <c r="B60" s="1">
        <v>7</v>
      </c>
      <c r="C60" t="s">
        <v>50</v>
      </c>
      <c r="D60" s="1">
        <v>65</v>
      </c>
      <c r="E60" t="s">
        <v>93</v>
      </c>
      <c r="F60" s="1">
        <v>270</v>
      </c>
      <c r="G60" t="s">
        <v>52</v>
      </c>
      <c r="H60" s="3">
        <v>1945</v>
      </c>
      <c r="I60" t="s">
        <v>102</v>
      </c>
      <c r="J60" s="3">
        <v>1801</v>
      </c>
      <c r="K60" t="s">
        <v>222</v>
      </c>
      <c r="L60" s="6">
        <v>43830.490312499998</v>
      </c>
      <c r="M60" s="8">
        <f>IFERROR(Tabla_kronos_MCSIG_PEI[[#This Row],[SIA_CANTIDAD]]/Tabla_kronos_MCSIG_PEI[[#This Row],[SIP_CANTIDAD]],"Meta sin Valor")</f>
        <v>0.92596401028277631</v>
      </c>
      <c r="N60" s="1" t="str">
        <f>IFERROR(IF(VLOOKUP(Tabla_kronos_MCSIG_PEI[[#This Row],[SIN_ID]],#REF!,1,0)&gt;0,"X","-"),"-")</f>
        <v>-</v>
      </c>
      <c r="O60"/>
    </row>
    <row r="61" spans="1:15" x14ac:dyDescent="0.3">
      <c r="A61" t="s">
        <v>149</v>
      </c>
      <c r="B61" s="1">
        <v>7</v>
      </c>
      <c r="C61" t="s">
        <v>50</v>
      </c>
      <c r="D61" s="1">
        <v>65</v>
      </c>
      <c r="E61" t="s">
        <v>93</v>
      </c>
      <c r="F61" s="1">
        <v>271</v>
      </c>
      <c r="G61" t="s">
        <v>95</v>
      </c>
      <c r="H61" s="3">
        <v>100</v>
      </c>
      <c r="I61" t="s">
        <v>102</v>
      </c>
      <c r="J61" s="3">
        <v>102</v>
      </c>
      <c r="K61" t="s">
        <v>223</v>
      </c>
      <c r="L61" s="6">
        <v>43830.491111111114</v>
      </c>
      <c r="M61" s="8">
        <f>IFERROR(Tabla_kronos_MCSIG_PEI[[#This Row],[SIA_CANTIDAD]]/Tabla_kronos_MCSIG_PEI[[#This Row],[SIP_CANTIDAD]],"Meta sin Valor")</f>
        <v>1.02</v>
      </c>
      <c r="N61" s="1" t="str">
        <f>IFERROR(IF(VLOOKUP(Tabla_kronos_MCSIG_PEI[[#This Row],[SIN_ID]],#REF!,1,0)&gt;0,"X","-"),"-")</f>
        <v>-</v>
      </c>
      <c r="O61"/>
    </row>
    <row r="62" spans="1:15" x14ac:dyDescent="0.3">
      <c r="A62" t="s">
        <v>5</v>
      </c>
      <c r="B62" s="1">
        <v>7</v>
      </c>
      <c r="C62" t="s">
        <v>50</v>
      </c>
      <c r="D62" s="1">
        <v>66</v>
      </c>
      <c r="E62" t="s">
        <v>53</v>
      </c>
      <c r="F62" s="1">
        <v>272</v>
      </c>
      <c r="G62" t="s">
        <v>54</v>
      </c>
      <c r="H62" s="3">
        <v>1</v>
      </c>
      <c r="I62" t="s">
        <v>102</v>
      </c>
      <c r="J62" s="3">
        <v>1</v>
      </c>
      <c r="K62" t="s">
        <v>167</v>
      </c>
      <c r="L62" s="6">
        <v>43830.667233796295</v>
      </c>
      <c r="M62" s="8">
        <f>IFERROR(Tabla_kronos_MCSIG_PEI[[#This Row],[SIA_CANTIDAD]]/Tabla_kronos_MCSIG_PEI[[#This Row],[SIP_CANTIDAD]],"Meta sin Valor")</f>
        <v>1</v>
      </c>
      <c r="N62" s="1" t="str">
        <f>IFERROR(IF(VLOOKUP(Tabla_kronos_MCSIG_PEI[[#This Row],[SIN_ID]],#REF!,1,0)&gt;0,"X","-"),"-")</f>
        <v>-</v>
      </c>
      <c r="O62"/>
    </row>
    <row r="63" spans="1:15" x14ac:dyDescent="0.3">
      <c r="A63" t="s">
        <v>5</v>
      </c>
      <c r="B63" s="1">
        <v>7</v>
      </c>
      <c r="C63" t="s">
        <v>50</v>
      </c>
      <c r="D63" s="1">
        <v>66</v>
      </c>
      <c r="E63" t="s">
        <v>53</v>
      </c>
      <c r="F63" s="1">
        <v>273</v>
      </c>
      <c r="G63" t="s">
        <v>55</v>
      </c>
      <c r="H63" s="3">
        <v>1</v>
      </c>
      <c r="I63" t="s">
        <v>102</v>
      </c>
      <c r="J63" s="3">
        <v>1</v>
      </c>
      <c r="K63" t="s">
        <v>181</v>
      </c>
      <c r="L63" s="6">
        <v>43830.669444444444</v>
      </c>
      <c r="M63" s="8">
        <f>IFERROR(Tabla_kronos_MCSIG_PEI[[#This Row],[SIA_CANTIDAD]]/Tabla_kronos_MCSIG_PEI[[#This Row],[SIP_CANTIDAD]],"Meta sin Valor")</f>
        <v>1</v>
      </c>
      <c r="N63" s="1" t="str">
        <f>IFERROR(IF(VLOOKUP(Tabla_kronos_MCSIG_PEI[[#This Row],[SIN_ID]],#REF!,1,0)&gt;0,"X","-"),"-")</f>
        <v>-</v>
      </c>
      <c r="O63"/>
    </row>
    <row r="64" spans="1:15" x14ac:dyDescent="0.3">
      <c r="A64" t="s">
        <v>3</v>
      </c>
      <c r="B64" s="1">
        <v>7</v>
      </c>
      <c r="C64" t="s">
        <v>50</v>
      </c>
      <c r="D64" s="1">
        <v>66</v>
      </c>
      <c r="E64" t="s">
        <v>53</v>
      </c>
      <c r="F64" s="1">
        <v>274</v>
      </c>
      <c r="G64" t="s">
        <v>150</v>
      </c>
      <c r="H64" s="3">
        <v>60</v>
      </c>
      <c r="I64" t="s">
        <v>102</v>
      </c>
      <c r="J64" s="3">
        <v>60</v>
      </c>
      <c r="K64" t="s">
        <v>205</v>
      </c>
      <c r="L64" s="6">
        <v>43830.659201388888</v>
      </c>
      <c r="M64" s="8">
        <f>IFERROR(Tabla_kronos_MCSIG_PEI[[#This Row],[SIA_CANTIDAD]]/Tabla_kronos_MCSIG_PEI[[#This Row],[SIP_CANTIDAD]],"Meta sin Valor")</f>
        <v>1</v>
      </c>
      <c r="N64" s="1" t="str">
        <f>IFERROR(IF(VLOOKUP(Tabla_kronos_MCSIG_PEI[[#This Row],[SIN_ID]],#REF!,1,0)&gt;0,"X","-"),"-")</f>
        <v>-</v>
      </c>
      <c r="O64"/>
    </row>
    <row r="65" spans="1:15" x14ac:dyDescent="0.3">
      <c r="A65" t="s">
        <v>3</v>
      </c>
      <c r="B65" s="1">
        <v>7</v>
      </c>
      <c r="C65" t="s">
        <v>50</v>
      </c>
      <c r="D65" s="1">
        <v>66</v>
      </c>
      <c r="E65" t="s">
        <v>53</v>
      </c>
      <c r="F65" s="1">
        <v>306</v>
      </c>
      <c r="G65" t="s">
        <v>151</v>
      </c>
      <c r="H65" s="3">
        <v>50</v>
      </c>
      <c r="I65" t="s">
        <v>102</v>
      </c>
      <c r="J65" s="3">
        <v>373</v>
      </c>
      <c r="K65" t="s">
        <v>235</v>
      </c>
      <c r="L65" s="6">
        <v>43830.659317129626</v>
      </c>
      <c r="M65" s="8">
        <f>IFERROR(Tabla_kronos_MCSIG_PEI[[#This Row],[SIA_CANTIDAD]]/Tabla_kronos_MCSIG_PEI[[#This Row],[SIP_CANTIDAD]],"Meta sin Valor")</f>
        <v>7.46</v>
      </c>
      <c r="N65" s="1" t="str">
        <f>IFERROR(IF(VLOOKUP(Tabla_kronos_MCSIG_PEI[[#This Row],[SIN_ID]],#REF!,1,0)&gt;0,"X","-"),"-")</f>
        <v>-</v>
      </c>
      <c r="O65"/>
    </row>
    <row r="66" spans="1:15" x14ac:dyDescent="0.3">
      <c r="A66" t="s">
        <v>60</v>
      </c>
      <c r="B66" s="1">
        <v>8</v>
      </c>
      <c r="C66" t="s">
        <v>98</v>
      </c>
      <c r="D66" s="1">
        <v>71</v>
      </c>
      <c r="E66" t="s">
        <v>63</v>
      </c>
      <c r="F66" s="1">
        <v>281</v>
      </c>
      <c r="G66" t="s">
        <v>64</v>
      </c>
      <c r="H66" s="3">
        <v>60</v>
      </c>
      <c r="I66" t="s">
        <v>102</v>
      </c>
      <c r="J66" s="3">
        <v>60</v>
      </c>
      <c r="K66" t="s">
        <v>207</v>
      </c>
      <c r="L66" s="6">
        <v>43830.775300925925</v>
      </c>
      <c r="M66" s="8">
        <f>IFERROR(Tabla_kronos_MCSIG_PEI[[#This Row],[SIA_CANTIDAD]]/Tabla_kronos_MCSIG_PEI[[#This Row],[SIP_CANTIDAD]],"Meta sin Valor")</f>
        <v>1</v>
      </c>
      <c r="N66" s="1" t="str">
        <f>IFERROR(IF(VLOOKUP(Tabla_kronos_MCSIG_PEI[[#This Row],[SIN_ID]],#REF!,1,0)&gt;0,"X","-"),"-")</f>
        <v>-</v>
      </c>
      <c r="O66"/>
    </row>
    <row r="67" spans="1:15" x14ac:dyDescent="0.3">
      <c r="A67" t="s">
        <v>60</v>
      </c>
      <c r="B67" s="1">
        <v>8</v>
      </c>
      <c r="C67" t="s">
        <v>98</v>
      </c>
      <c r="D67" s="1">
        <v>70</v>
      </c>
      <c r="E67" t="s">
        <v>62</v>
      </c>
      <c r="F67" s="1">
        <v>283</v>
      </c>
      <c r="G67" t="s">
        <v>152</v>
      </c>
      <c r="H67" s="3">
        <v>43</v>
      </c>
      <c r="I67" t="s">
        <v>102</v>
      </c>
      <c r="J67" s="3">
        <v>43</v>
      </c>
      <c r="K67" t="s">
        <v>208</v>
      </c>
      <c r="L67" s="6">
        <v>43830.77652777778</v>
      </c>
      <c r="M67" s="8">
        <f>IFERROR(Tabla_kronos_MCSIG_PEI[[#This Row],[SIA_CANTIDAD]]/Tabla_kronos_MCSIG_PEI[[#This Row],[SIP_CANTIDAD]],"Meta sin Valor")</f>
        <v>1</v>
      </c>
      <c r="N67" s="1" t="str">
        <f>IFERROR(IF(VLOOKUP(Tabla_kronos_MCSIG_PEI[[#This Row],[SIN_ID]],#REF!,1,0)&gt;0,"X","-"),"-")</f>
        <v>-</v>
      </c>
      <c r="O67"/>
    </row>
    <row r="68" spans="1:15" x14ac:dyDescent="0.3">
      <c r="A68" t="s">
        <v>66</v>
      </c>
      <c r="B68" s="1">
        <v>8</v>
      </c>
      <c r="C68" t="s">
        <v>98</v>
      </c>
      <c r="D68" s="1">
        <v>72</v>
      </c>
      <c r="E68" t="s">
        <v>65</v>
      </c>
      <c r="F68" s="1">
        <v>282</v>
      </c>
      <c r="G68" t="s">
        <v>67</v>
      </c>
      <c r="H68" s="3">
        <v>100</v>
      </c>
      <c r="I68" t="s">
        <v>102</v>
      </c>
      <c r="J68" s="3">
        <v>99</v>
      </c>
      <c r="K68" t="s">
        <v>206</v>
      </c>
      <c r="L68" s="6">
        <v>43760.640231481484</v>
      </c>
      <c r="M68" s="8">
        <f>IFERROR(Tabla_kronos_MCSIG_PEI[[#This Row],[SIA_CANTIDAD]]/Tabla_kronos_MCSIG_PEI[[#This Row],[SIP_CANTIDAD]],"Meta sin Valor")</f>
        <v>0.99</v>
      </c>
      <c r="N68" s="1" t="str">
        <f>IFERROR(IF(VLOOKUP(Tabla_kronos_MCSIG_PEI[[#This Row],[SIN_ID]],#REF!,1,0)&gt;0,"X","-"),"-")</f>
        <v>-</v>
      </c>
      <c r="O68"/>
    </row>
    <row r="69" spans="1:15" x14ac:dyDescent="0.3">
      <c r="A69" t="s">
        <v>153</v>
      </c>
      <c r="B69" s="1">
        <v>8</v>
      </c>
      <c r="C69" t="s">
        <v>98</v>
      </c>
      <c r="D69" s="1">
        <v>75</v>
      </c>
      <c r="E69" t="s">
        <v>100</v>
      </c>
      <c r="F69" s="1">
        <v>286</v>
      </c>
      <c r="G69" t="s">
        <v>71</v>
      </c>
      <c r="H69" s="3">
        <v>91</v>
      </c>
      <c r="I69" t="s">
        <v>103</v>
      </c>
      <c r="J69" s="3">
        <v>91</v>
      </c>
      <c r="K69" t="s">
        <v>101</v>
      </c>
      <c r="L69" s="6">
        <v>43774.696238425924</v>
      </c>
      <c r="M69" s="8">
        <f>IFERROR(Tabla_kronos_MCSIG_PEI[[#This Row],[SIA_CANTIDAD]]/Tabla_kronos_MCSIG_PEI[[#This Row],[SIP_CANTIDAD]],"Meta sin Valor")</f>
        <v>1</v>
      </c>
      <c r="N69" s="1" t="str">
        <f>IFERROR(IF(VLOOKUP(Tabla_kronos_MCSIG_PEI[[#This Row],[SIN_ID]],#REF!,1,0)&gt;0,"X","-"),"-")</f>
        <v>-</v>
      </c>
      <c r="O69"/>
    </row>
    <row r="70" spans="1:15" x14ac:dyDescent="0.3">
      <c r="A70" t="s">
        <v>1</v>
      </c>
      <c r="B70" s="1">
        <v>8</v>
      </c>
      <c r="C70" t="s">
        <v>98</v>
      </c>
      <c r="D70" s="1">
        <v>77</v>
      </c>
      <c r="E70" t="s">
        <v>74</v>
      </c>
      <c r="F70" s="1">
        <v>288</v>
      </c>
      <c r="G70" t="s">
        <v>75</v>
      </c>
      <c r="H70" s="3">
        <v>78</v>
      </c>
      <c r="I70" t="s">
        <v>103</v>
      </c>
      <c r="J70" s="3">
        <v>89.66</v>
      </c>
      <c r="K70" t="s">
        <v>211</v>
      </c>
      <c r="L70" s="6">
        <v>43830.450567129628</v>
      </c>
      <c r="M70" s="8">
        <f>IFERROR(Tabla_kronos_MCSIG_PEI[[#This Row],[SIA_CANTIDAD]]/Tabla_kronos_MCSIG_PEI[[#This Row],[SIP_CANTIDAD]],"Meta sin Valor")</f>
        <v>1.1494871794871795</v>
      </c>
      <c r="N70" s="1" t="str">
        <f>IFERROR(IF(VLOOKUP(Tabla_kronos_MCSIG_PEI[[#This Row],[SIN_ID]],#REF!,1,0)&gt;0,"X","-"),"-")</f>
        <v>-</v>
      </c>
      <c r="O70"/>
    </row>
    <row r="71" spans="1:15" x14ac:dyDescent="0.3">
      <c r="A71" t="s">
        <v>154</v>
      </c>
      <c r="B71" s="1">
        <v>8</v>
      </c>
      <c r="C71" t="s">
        <v>98</v>
      </c>
      <c r="D71" s="1">
        <v>76</v>
      </c>
      <c r="E71" t="s">
        <v>72</v>
      </c>
      <c r="F71" s="1">
        <v>287</v>
      </c>
      <c r="G71" t="s">
        <v>73</v>
      </c>
      <c r="H71" s="3">
        <v>2</v>
      </c>
      <c r="I71" t="s">
        <v>102</v>
      </c>
      <c r="J71" s="3">
        <v>2</v>
      </c>
      <c r="K71" t="s">
        <v>218</v>
      </c>
      <c r="L71" s="6">
        <v>43830.460613425923</v>
      </c>
      <c r="M71" s="8">
        <f>IFERROR(Tabla_kronos_MCSIG_PEI[[#This Row],[SIA_CANTIDAD]]/Tabla_kronos_MCSIG_PEI[[#This Row],[SIP_CANTIDAD]],"Meta sin Valor")</f>
        <v>1</v>
      </c>
      <c r="N71" s="1" t="str">
        <f>IFERROR(IF(VLOOKUP(Tabla_kronos_MCSIG_PEI[[#This Row],[SIN_ID]],#REF!,1,0)&gt;0,"X","-"),"-")</f>
        <v>-</v>
      </c>
      <c r="O71"/>
    </row>
    <row r="72" spans="1:15" x14ac:dyDescent="0.3">
      <c r="A72" t="s">
        <v>60</v>
      </c>
      <c r="B72" s="1">
        <v>8</v>
      </c>
      <c r="C72" t="s">
        <v>98</v>
      </c>
      <c r="D72" s="1">
        <v>73</v>
      </c>
      <c r="E72" t="s">
        <v>68</v>
      </c>
      <c r="F72" s="1">
        <v>280</v>
      </c>
      <c r="G72" t="s">
        <v>192</v>
      </c>
      <c r="H72" s="3">
        <v>100</v>
      </c>
      <c r="I72" t="s">
        <v>102</v>
      </c>
      <c r="J72" s="3">
        <v>100</v>
      </c>
      <c r="K72" t="s">
        <v>209</v>
      </c>
      <c r="L72" s="6">
        <v>43830.772407407407</v>
      </c>
      <c r="M72" s="8">
        <f>IFERROR(Tabla_kronos_MCSIG_PEI[[#This Row],[SIA_CANTIDAD]]/Tabla_kronos_MCSIG_PEI[[#This Row],[SIP_CANTIDAD]],"Meta sin Valor")</f>
        <v>1</v>
      </c>
      <c r="N72" s="1" t="str">
        <f>IFERROR(IF(VLOOKUP(Tabla_kronos_MCSIG_PEI[[#This Row],[SIN_ID]],#REF!,1,0)&gt;0,"X","-"),"-")</f>
        <v>-</v>
      </c>
      <c r="O72"/>
    </row>
    <row r="73" spans="1:15" x14ac:dyDescent="0.3">
      <c r="A73" t="s">
        <v>155</v>
      </c>
      <c r="B73" s="1">
        <v>8</v>
      </c>
      <c r="C73" t="s">
        <v>98</v>
      </c>
      <c r="D73" s="1">
        <v>74</v>
      </c>
      <c r="E73" t="s">
        <v>69</v>
      </c>
      <c r="F73" s="1">
        <v>284</v>
      </c>
      <c r="G73" t="s">
        <v>156</v>
      </c>
      <c r="H73" s="3">
        <v>90</v>
      </c>
      <c r="I73" t="s">
        <v>103</v>
      </c>
      <c r="J73" s="3">
        <v>94</v>
      </c>
      <c r="K73" t="s">
        <v>216</v>
      </c>
      <c r="L73" s="6">
        <v>43830.694062499999</v>
      </c>
      <c r="M73" s="8">
        <f>IFERROR(Tabla_kronos_MCSIG_PEI[[#This Row],[SIA_CANTIDAD]]/Tabla_kronos_MCSIG_PEI[[#This Row],[SIP_CANTIDAD]],"Meta sin Valor")</f>
        <v>1.0444444444444445</v>
      </c>
      <c r="N73" s="1" t="str">
        <f>IFERROR(IF(VLOOKUP(Tabla_kronos_MCSIG_PEI[[#This Row],[SIN_ID]],#REF!,1,0)&gt;0,"X","-"),"-")</f>
        <v>-</v>
      </c>
      <c r="O73"/>
    </row>
    <row r="74" spans="1:15" x14ac:dyDescent="0.3">
      <c r="A74" t="s">
        <v>155</v>
      </c>
      <c r="B74" s="1">
        <v>8</v>
      </c>
      <c r="C74" t="s">
        <v>98</v>
      </c>
      <c r="D74" s="1">
        <v>74</v>
      </c>
      <c r="E74" t="s">
        <v>69</v>
      </c>
      <c r="F74" s="1">
        <v>285</v>
      </c>
      <c r="G74" t="s">
        <v>70</v>
      </c>
      <c r="H74" s="3">
        <v>80</v>
      </c>
      <c r="I74" t="s">
        <v>102</v>
      </c>
      <c r="J74" s="3">
        <v>94</v>
      </c>
      <c r="K74" t="s">
        <v>217</v>
      </c>
      <c r="L74" s="6">
        <v>43830.69672453704</v>
      </c>
      <c r="M74" s="8">
        <f>IFERROR(Tabla_kronos_MCSIG_PEI[[#This Row],[SIA_CANTIDAD]]/Tabla_kronos_MCSIG_PEI[[#This Row],[SIP_CANTIDAD]],"Meta sin Valor")</f>
        <v>1.175</v>
      </c>
      <c r="N74" s="1" t="str">
        <f>IFERROR(IF(VLOOKUP(Tabla_kronos_MCSIG_PEI[[#This Row],[SIN_ID]],#REF!,1,0)&gt;0,"X","-"),"-")</f>
        <v>-</v>
      </c>
      <c r="O74"/>
    </row>
    <row r="75" spans="1:15" x14ac:dyDescent="0.3">
      <c r="A75" t="s">
        <v>157</v>
      </c>
      <c r="B75" s="1">
        <v>8</v>
      </c>
      <c r="C75" t="s">
        <v>98</v>
      </c>
      <c r="D75" s="1">
        <v>69</v>
      </c>
      <c r="E75" t="s">
        <v>58</v>
      </c>
      <c r="F75" s="1">
        <v>277</v>
      </c>
      <c r="G75" t="s">
        <v>59</v>
      </c>
      <c r="H75" s="3">
        <v>90.8</v>
      </c>
      <c r="I75" t="s">
        <v>103</v>
      </c>
      <c r="J75" s="3">
        <v>96</v>
      </c>
      <c r="K75" t="s">
        <v>182</v>
      </c>
      <c r="L75" s="6">
        <v>43830.66846064815</v>
      </c>
      <c r="M75" s="8">
        <f>IFERROR(Tabla_kronos_MCSIG_PEI[[#This Row],[SIA_CANTIDAD]]/Tabla_kronos_MCSIG_PEI[[#This Row],[SIP_CANTIDAD]],"Meta sin Valor")</f>
        <v>1.0572687224669604</v>
      </c>
      <c r="N75" s="1" t="str">
        <f>IFERROR(IF(VLOOKUP(Tabla_kronos_MCSIG_PEI[[#This Row],[SIN_ID]],#REF!,1,0)&gt;0,"X","-"),"-")</f>
        <v>-</v>
      </c>
      <c r="O75"/>
    </row>
    <row r="76" spans="1:15" x14ac:dyDescent="0.3">
      <c r="A76" t="s">
        <v>60</v>
      </c>
      <c r="B76" s="1">
        <v>8</v>
      </c>
      <c r="C76" t="s">
        <v>98</v>
      </c>
      <c r="D76" s="1">
        <v>69</v>
      </c>
      <c r="E76" t="s">
        <v>58</v>
      </c>
      <c r="F76" s="1">
        <v>278</v>
      </c>
      <c r="G76" t="s">
        <v>193</v>
      </c>
      <c r="H76" s="3">
        <v>100</v>
      </c>
      <c r="I76" t="s">
        <v>102</v>
      </c>
      <c r="J76" s="3">
        <v>100</v>
      </c>
      <c r="K76" t="s">
        <v>183</v>
      </c>
      <c r="L76" s="6">
        <v>43830.503564814811</v>
      </c>
      <c r="M76" s="8">
        <f>IFERROR(Tabla_kronos_MCSIG_PEI[[#This Row],[SIA_CANTIDAD]]/Tabla_kronos_MCSIG_PEI[[#This Row],[SIP_CANTIDAD]],"Meta sin Valor")</f>
        <v>1</v>
      </c>
      <c r="N76" s="1" t="str">
        <f>IFERROR(IF(VLOOKUP(Tabla_kronos_MCSIG_PEI[[#This Row],[SIN_ID]],#REF!,1,0)&gt;0,"X","-"),"-")</f>
        <v>-</v>
      </c>
      <c r="O76"/>
    </row>
    <row r="77" spans="1:15" x14ac:dyDescent="0.3">
      <c r="A77" t="s">
        <v>99</v>
      </c>
      <c r="B77" s="1">
        <v>8</v>
      </c>
      <c r="C77" t="s">
        <v>98</v>
      </c>
      <c r="D77" s="1">
        <v>69</v>
      </c>
      <c r="E77" t="s">
        <v>58</v>
      </c>
      <c r="F77" s="1">
        <v>279</v>
      </c>
      <c r="G77" t="s">
        <v>61</v>
      </c>
      <c r="H77" s="3">
        <v>10</v>
      </c>
      <c r="I77" t="s">
        <v>103</v>
      </c>
      <c r="J77" s="3">
        <v>9</v>
      </c>
      <c r="K77" t="s">
        <v>158</v>
      </c>
      <c r="L77" s="6">
        <v>43768.632743055554</v>
      </c>
      <c r="M77" s="8">
        <f>IFERROR(Tabla_kronos_MCSIG_PEI[[#This Row],[SIA_CANTIDAD]]/Tabla_kronos_MCSIG_PEI[[#This Row],[SIP_CANTIDAD]],"Meta sin Valor")</f>
        <v>0.9</v>
      </c>
      <c r="N77" s="1" t="str">
        <f>IFERROR(IF(VLOOKUP(Tabla_kronos_MCSIG_PEI[[#This Row],[SIN_ID]],#REF!,1,0)&gt;0,"X","-"),"-")</f>
        <v>-</v>
      </c>
      <c r="O77"/>
    </row>
    <row r="78" spans="1:15" x14ac:dyDescent="0.3">
      <c r="B78" s="1"/>
      <c r="G78" s="1">
        <f>SUBTOTAL(103,Tabla_kronos_MCSIG_PEI[SIN_NOMBRE])</f>
        <v>76</v>
      </c>
      <c r="J78" s="1">
        <f>SUBTOTAL(103,Tabla_kronos_MCSIG_PEI[SIA_CANTIDAD])</f>
        <v>74</v>
      </c>
      <c r="M78" s="10"/>
      <c r="N78" s="1">
        <f>COUNTIF(Tabla_kronos_MCSIG_PEI[PND],"X")</f>
        <v>0</v>
      </c>
      <c r="O78"/>
    </row>
    <row r="79" spans="1:15" x14ac:dyDescent="0.3">
      <c r="O7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8E24-E265-420F-80AA-53997413FD71}">
  <sheetPr>
    <tabColor rgb="FF002060"/>
  </sheetPr>
  <dimension ref="A1:G153"/>
  <sheetViews>
    <sheetView workbookViewId="0"/>
  </sheetViews>
  <sheetFormatPr baseColWidth="10" defaultRowHeight="14.4" x14ac:dyDescent="0.3"/>
  <cols>
    <col min="1" max="1" width="9.44140625" bestFit="1" customWidth="1"/>
    <col min="2" max="2" width="9.109375" bestFit="1" customWidth="1"/>
    <col min="3" max="3" width="9.109375" style="1" bestFit="1" customWidth="1"/>
    <col min="4" max="4" width="60.6640625" style="1" bestFit="1" customWidth="1"/>
    <col min="5" max="6" width="13.6640625" style="1" bestFit="1" customWidth="1"/>
    <col min="7" max="7" width="9.44140625" style="1" bestFit="1" customWidth="1"/>
    <col min="8" max="9" width="13.6640625" bestFit="1" customWidth="1"/>
    <col min="10" max="10" width="22.33203125" bestFit="1" customWidth="1"/>
    <col min="11" max="11" width="27.6640625" bestFit="1" customWidth="1"/>
  </cols>
  <sheetData>
    <row r="1" spans="1:7" x14ac:dyDescent="0.3">
      <c r="A1" s="2" t="s">
        <v>108</v>
      </c>
      <c r="B1" s="2" t="s">
        <v>110</v>
      </c>
      <c r="C1" s="2" t="s">
        <v>112</v>
      </c>
      <c r="D1" s="2" t="s">
        <v>107</v>
      </c>
      <c r="E1" s="1" t="s">
        <v>168</v>
      </c>
      <c r="F1" s="1" t="s">
        <v>169</v>
      </c>
      <c r="G1" s="1" t="s">
        <v>170</v>
      </c>
    </row>
    <row r="2" spans="1:7" x14ac:dyDescent="0.3">
      <c r="A2">
        <v>1</v>
      </c>
      <c r="B2">
        <v>31</v>
      </c>
      <c r="C2">
        <v>221</v>
      </c>
      <c r="D2" t="s">
        <v>1</v>
      </c>
      <c r="E2" s="3">
        <v>0</v>
      </c>
      <c r="F2" s="3">
        <v>0</v>
      </c>
      <c r="G2" s="11" t="e">
        <v>#DIV/0!</v>
      </c>
    </row>
    <row r="3" spans="1:7" x14ac:dyDescent="0.3">
      <c r="C3">
        <v>222</v>
      </c>
      <c r="D3" t="s">
        <v>1</v>
      </c>
      <c r="E3" s="3">
        <v>25</v>
      </c>
      <c r="F3" s="3">
        <v>25</v>
      </c>
      <c r="G3" s="11">
        <v>1</v>
      </c>
    </row>
    <row r="4" spans="1:7" x14ac:dyDescent="0.3">
      <c r="C4">
        <v>304</v>
      </c>
      <c r="D4" t="s">
        <v>3</v>
      </c>
      <c r="E4" s="3">
        <v>3</v>
      </c>
      <c r="F4" s="3">
        <v>3</v>
      </c>
      <c r="G4" s="11">
        <v>1</v>
      </c>
    </row>
    <row r="5" spans="1:7" x14ac:dyDescent="0.3">
      <c r="B5">
        <v>32</v>
      </c>
      <c r="C5">
        <v>223</v>
      </c>
      <c r="D5" t="s">
        <v>5</v>
      </c>
      <c r="E5" s="3">
        <v>0</v>
      </c>
      <c r="F5" s="3">
        <v>0</v>
      </c>
      <c r="G5" s="11" t="e">
        <v>#DIV/0!</v>
      </c>
    </row>
    <row r="6" spans="1:7" x14ac:dyDescent="0.3">
      <c r="C6">
        <v>224</v>
      </c>
      <c r="D6" t="s">
        <v>5</v>
      </c>
      <c r="E6" s="3">
        <v>0</v>
      </c>
      <c r="F6" s="3">
        <v>0</v>
      </c>
      <c r="G6" s="11" t="e">
        <v>#DIV/0!</v>
      </c>
    </row>
    <row r="7" spans="1:7" x14ac:dyDescent="0.3">
      <c r="C7">
        <v>225</v>
      </c>
      <c r="D7" t="s">
        <v>6</v>
      </c>
      <c r="E7" s="3">
        <v>0</v>
      </c>
      <c r="F7" s="3">
        <v>0</v>
      </c>
      <c r="G7" s="11" t="e">
        <v>#DIV/0!</v>
      </c>
    </row>
    <row r="8" spans="1:7" x14ac:dyDescent="0.3">
      <c r="C8">
        <v>226</v>
      </c>
      <c r="D8" t="s">
        <v>124</v>
      </c>
      <c r="E8" s="3">
        <v>25</v>
      </c>
      <c r="F8" s="3">
        <v>35</v>
      </c>
      <c r="G8" s="11">
        <v>1.4</v>
      </c>
    </row>
    <row r="9" spans="1:7" x14ac:dyDescent="0.3">
      <c r="C9">
        <v>227</v>
      </c>
      <c r="D9" t="s">
        <v>3</v>
      </c>
      <c r="E9" s="3">
        <v>1</v>
      </c>
      <c r="F9" s="3">
        <v>1</v>
      </c>
      <c r="G9" s="11">
        <v>1</v>
      </c>
    </row>
    <row r="10" spans="1:7" x14ac:dyDescent="0.3">
      <c r="B10">
        <v>33</v>
      </c>
      <c r="C10">
        <v>228</v>
      </c>
      <c r="D10" t="s">
        <v>3</v>
      </c>
      <c r="E10" s="3">
        <v>1</v>
      </c>
      <c r="F10" s="3">
        <v>4</v>
      </c>
      <c r="G10" s="11">
        <v>4</v>
      </c>
    </row>
    <row r="11" spans="1:7" x14ac:dyDescent="0.3">
      <c r="A11">
        <v>2</v>
      </c>
      <c r="B11">
        <v>47</v>
      </c>
      <c r="C11">
        <v>229</v>
      </c>
      <c r="D11" t="s">
        <v>10</v>
      </c>
      <c r="E11" s="3">
        <v>93</v>
      </c>
      <c r="F11" s="3">
        <v>93</v>
      </c>
      <c r="G11" s="11">
        <v>1</v>
      </c>
    </row>
    <row r="12" spans="1:7" x14ac:dyDescent="0.3">
      <c r="C12">
        <v>230</v>
      </c>
      <c r="D12" t="s">
        <v>10</v>
      </c>
      <c r="E12" s="3">
        <v>1047</v>
      </c>
      <c r="F12" s="3">
        <v>3102</v>
      </c>
      <c r="G12" s="11">
        <v>2.9627507163323781</v>
      </c>
    </row>
    <row r="13" spans="1:7" x14ac:dyDescent="0.3">
      <c r="C13">
        <v>231</v>
      </c>
      <c r="D13" t="s">
        <v>10</v>
      </c>
      <c r="E13" s="3">
        <v>0</v>
      </c>
      <c r="F13" s="3">
        <v>0</v>
      </c>
      <c r="G13" s="11" t="e">
        <v>#DIV/0!</v>
      </c>
    </row>
    <row r="14" spans="1:7" x14ac:dyDescent="0.3">
      <c r="B14">
        <v>48</v>
      </c>
      <c r="C14">
        <v>232</v>
      </c>
      <c r="D14" t="s">
        <v>12</v>
      </c>
      <c r="E14" s="3">
        <v>33</v>
      </c>
      <c r="F14" s="3">
        <v>0</v>
      </c>
      <c r="G14" s="11">
        <v>0</v>
      </c>
    </row>
    <row r="15" spans="1:7" x14ac:dyDescent="0.3">
      <c r="B15">
        <v>49</v>
      </c>
      <c r="C15">
        <v>233</v>
      </c>
      <c r="D15" t="s">
        <v>131</v>
      </c>
      <c r="E15" s="3">
        <v>16</v>
      </c>
      <c r="F15" s="3">
        <v>17</v>
      </c>
      <c r="G15" s="11">
        <v>1.0625</v>
      </c>
    </row>
    <row r="16" spans="1:7" x14ac:dyDescent="0.3">
      <c r="C16">
        <v>234</v>
      </c>
      <c r="D16" t="s">
        <v>131</v>
      </c>
      <c r="E16" s="3">
        <v>8</v>
      </c>
      <c r="F16" s="3">
        <v>10</v>
      </c>
      <c r="G16" s="11">
        <v>1.25</v>
      </c>
    </row>
    <row r="17" spans="1:7" x14ac:dyDescent="0.3">
      <c r="C17">
        <v>289</v>
      </c>
      <c r="D17" t="s">
        <v>12</v>
      </c>
      <c r="E17" s="3">
        <v>1</v>
      </c>
      <c r="F17" s="3">
        <v>0</v>
      </c>
      <c r="G17" s="11">
        <v>0</v>
      </c>
    </row>
    <row r="18" spans="1:7" x14ac:dyDescent="0.3">
      <c r="B18">
        <v>50</v>
      </c>
      <c r="C18">
        <v>235</v>
      </c>
      <c r="D18" t="s">
        <v>3</v>
      </c>
      <c r="E18" s="3">
        <v>3</v>
      </c>
      <c r="F18" s="3">
        <v>7</v>
      </c>
      <c r="G18" s="11">
        <v>2.3333333333333335</v>
      </c>
    </row>
    <row r="19" spans="1:7" x14ac:dyDescent="0.3">
      <c r="C19">
        <v>236</v>
      </c>
      <c r="D19" t="s">
        <v>3</v>
      </c>
      <c r="E19" s="3">
        <v>1</v>
      </c>
      <c r="F19" s="3">
        <v>4</v>
      </c>
      <c r="G19" s="11">
        <v>4</v>
      </c>
    </row>
    <row r="20" spans="1:7" x14ac:dyDescent="0.3">
      <c r="B20">
        <v>51</v>
      </c>
      <c r="C20">
        <v>237</v>
      </c>
      <c r="D20" t="s">
        <v>124</v>
      </c>
      <c r="E20" s="3">
        <v>100</v>
      </c>
      <c r="F20" s="3">
        <v>56</v>
      </c>
      <c r="G20" s="11">
        <v>0.56000000000000005</v>
      </c>
    </row>
    <row r="21" spans="1:7" x14ac:dyDescent="0.3">
      <c r="A21">
        <v>3</v>
      </c>
      <c r="B21">
        <v>52</v>
      </c>
      <c r="C21">
        <v>238</v>
      </c>
      <c r="D21" t="s">
        <v>133</v>
      </c>
      <c r="E21" s="3">
        <v>0</v>
      </c>
      <c r="F21" s="3">
        <v>0</v>
      </c>
      <c r="G21" s="11" t="e">
        <v>#DIV/0!</v>
      </c>
    </row>
    <row r="22" spans="1:7" x14ac:dyDescent="0.3">
      <c r="C22">
        <v>239</v>
      </c>
      <c r="D22" t="s">
        <v>133</v>
      </c>
      <c r="E22" s="3">
        <v>0</v>
      </c>
      <c r="F22" s="3">
        <v>0</v>
      </c>
      <c r="G22" s="11" t="e">
        <v>#DIV/0!</v>
      </c>
    </row>
    <row r="23" spans="1:7" x14ac:dyDescent="0.3">
      <c r="C23">
        <v>240</v>
      </c>
      <c r="D23" t="s">
        <v>133</v>
      </c>
      <c r="E23" s="3">
        <v>2800</v>
      </c>
      <c r="F23" s="3">
        <v>2800</v>
      </c>
      <c r="G23" s="11">
        <v>1</v>
      </c>
    </row>
    <row r="24" spans="1:7" x14ac:dyDescent="0.3">
      <c r="C24">
        <v>241</v>
      </c>
      <c r="D24" t="s">
        <v>6</v>
      </c>
      <c r="E24" s="3">
        <v>750000</v>
      </c>
      <c r="F24" s="3">
        <v>1700038</v>
      </c>
      <c r="G24" s="11">
        <v>2.2667173333333333</v>
      </c>
    </row>
    <row r="25" spans="1:7" x14ac:dyDescent="0.3">
      <c r="C25">
        <v>242</v>
      </c>
      <c r="D25" t="s">
        <v>133</v>
      </c>
      <c r="E25" s="3">
        <v>543</v>
      </c>
      <c r="F25" s="3">
        <v>543</v>
      </c>
      <c r="G25" s="11">
        <v>1</v>
      </c>
    </row>
    <row r="26" spans="1:7" x14ac:dyDescent="0.3">
      <c r="B26">
        <v>53</v>
      </c>
      <c r="C26">
        <v>243</v>
      </c>
      <c r="D26" t="s">
        <v>5</v>
      </c>
      <c r="E26" s="3">
        <v>16</v>
      </c>
      <c r="F26" s="3">
        <v>16</v>
      </c>
      <c r="G26" s="11">
        <v>1</v>
      </c>
    </row>
    <row r="27" spans="1:7" x14ac:dyDescent="0.3">
      <c r="C27">
        <v>244</v>
      </c>
      <c r="D27" t="s">
        <v>6</v>
      </c>
      <c r="E27" s="3">
        <v>4251</v>
      </c>
      <c r="F27" s="3">
        <v>4664</v>
      </c>
      <c r="G27" s="11">
        <v>1.0971536109150788</v>
      </c>
    </row>
    <row r="28" spans="1:7" x14ac:dyDescent="0.3">
      <c r="C28">
        <v>245</v>
      </c>
      <c r="D28" t="s">
        <v>6</v>
      </c>
      <c r="E28" s="3">
        <v>176272</v>
      </c>
      <c r="F28" s="3">
        <v>187566</v>
      </c>
      <c r="G28" s="11">
        <v>1.0640714350549152</v>
      </c>
    </row>
    <row r="29" spans="1:7" x14ac:dyDescent="0.3">
      <c r="C29">
        <v>246</v>
      </c>
      <c r="D29" t="s">
        <v>25</v>
      </c>
      <c r="E29" s="3">
        <v>4</v>
      </c>
      <c r="F29" s="3">
        <v>16</v>
      </c>
      <c r="G29" s="11">
        <v>4</v>
      </c>
    </row>
    <row r="30" spans="1:7" x14ac:dyDescent="0.3">
      <c r="C30">
        <v>247</v>
      </c>
      <c r="D30" t="s">
        <v>26</v>
      </c>
      <c r="E30" s="3">
        <v>10</v>
      </c>
      <c r="F30" s="3">
        <v>10</v>
      </c>
      <c r="G30" s="11">
        <v>1</v>
      </c>
    </row>
    <row r="31" spans="1:7" x14ac:dyDescent="0.3">
      <c r="C31">
        <v>307</v>
      </c>
      <c r="D31" t="s">
        <v>12</v>
      </c>
      <c r="E31" s="3">
        <v>1</v>
      </c>
      <c r="F31" s="3">
        <v>1</v>
      </c>
      <c r="G31" s="11">
        <v>1</v>
      </c>
    </row>
    <row r="32" spans="1:7" x14ac:dyDescent="0.3">
      <c r="B32">
        <v>54</v>
      </c>
      <c r="C32">
        <v>248</v>
      </c>
      <c r="D32" t="s">
        <v>25</v>
      </c>
      <c r="E32" s="3">
        <v>2000000</v>
      </c>
      <c r="F32" s="3">
        <v>2211031</v>
      </c>
      <c r="G32" s="11">
        <v>1.1055155000000001</v>
      </c>
    </row>
    <row r="33" spans="1:7" x14ac:dyDescent="0.3">
      <c r="B33">
        <v>55</v>
      </c>
      <c r="C33">
        <v>249</v>
      </c>
      <c r="D33" t="s">
        <v>26</v>
      </c>
      <c r="E33" s="3">
        <v>250</v>
      </c>
      <c r="F33" s="3">
        <v>256</v>
      </c>
      <c r="G33" s="11">
        <v>1.024</v>
      </c>
    </row>
    <row r="34" spans="1:7" x14ac:dyDescent="0.3">
      <c r="C34">
        <v>250</v>
      </c>
      <c r="D34" t="s">
        <v>32</v>
      </c>
      <c r="E34" s="3">
        <v>80</v>
      </c>
      <c r="F34" s="3">
        <v>104</v>
      </c>
      <c r="G34" s="11">
        <v>1.3</v>
      </c>
    </row>
    <row r="35" spans="1:7" x14ac:dyDescent="0.3">
      <c r="C35">
        <v>251</v>
      </c>
      <c r="D35" t="s">
        <v>87</v>
      </c>
      <c r="E35" s="3">
        <v>230</v>
      </c>
      <c r="F35" s="3">
        <v>263</v>
      </c>
      <c r="G35" s="11">
        <v>1.1434782608695653</v>
      </c>
    </row>
    <row r="36" spans="1:7" x14ac:dyDescent="0.3">
      <c r="A36">
        <v>4</v>
      </c>
      <c r="B36">
        <v>56</v>
      </c>
      <c r="C36">
        <v>252</v>
      </c>
      <c r="D36" t="s">
        <v>3</v>
      </c>
      <c r="E36" s="3">
        <v>3</v>
      </c>
      <c r="F36" s="3">
        <v>2</v>
      </c>
      <c r="G36" s="11">
        <v>0.66666666666666663</v>
      </c>
    </row>
    <row r="37" spans="1:7" x14ac:dyDescent="0.3">
      <c r="B37">
        <v>57</v>
      </c>
      <c r="C37">
        <v>253</v>
      </c>
      <c r="D37" t="s">
        <v>36</v>
      </c>
      <c r="E37" s="3">
        <v>10000000000</v>
      </c>
      <c r="F37" s="3">
        <v>11359904293</v>
      </c>
      <c r="G37" s="11">
        <v>1.1359904293</v>
      </c>
    </row>
    <row r="38" spans="1:7" x14ac:dyDescent="0.3">
      <c r="C38">
        <v>254</v>
      </c>
      <c r="D38" t="s">
        <v>10</v>
      </c>
      <c r="E38" s="3">
        <v>70</v>
      </c>
      <c r="F38" s="3">
        <v>86</v>
      </c>
      <c r="G38" s="11">
        <v>1.2285714285714286</v>
      </c>
    </row>
    <row r="39" spans="1:7" x14ac:dyDescent="0.3">
      <c r="A39">
        <v>5</v>
      </c>
      <c r="B39">
        <v>58</v>
      </c>
      <c r="C39">
        <v>255</v>
      </c>
      <c r="D39" t="s">
        <v>140</v>
      </c>
      <c r="E39" s="3">
        <v>81</v>
      </c>
      <c r="F39" s="3">
        <v>81</v>
      </c>
      <c r="G39" s="11">
        <v>1</v>
      </c>
    </row>
    <row r="40" spans="1:7" x14ac:dyDescent="0.3">
      <c r="C40">
        <v>256</v>
      </c>
      <c r="D40" t="s">
        <v>142</v>
      </c>
      <c r="E40" s="3">
        <v>0</v>
      </c>
      <c r="F40" s="3">
        <v>0</v>
      </c>
      <c r="G40" s="11" t="e">
        <v>#DIV/0!</v>
      </c>
    </row>
    <row r="41" spans="1:7" x14ac:dyDescent="0.3">
      <c r="C41">
        <v>257</v>
      </c>
      <c r="D41" t="s">
        <v>142</v>
      </c>
      <c r="E41" s="3">
        <v>82</v>
      </c>
      <c r="F41" s="3">
        <v>82</v>
      </c>
      <c r="G41" s="11">
        <v>1</v>
      </c>
    </row>
    <row r="42" spans="1:7" x14ac:dyDescent="0.3">
      <c r="C42">
        <v>308</v>
      </c>
      <c r="D42" t="s">
        <v>12</v>
      </c>
      <c r="E42" s="3">
        <v>0</v>
      </c>
      <c r="F42" s="3">
        <v>0</v>
      </c>
      <c r="G42" s="11" t="e">
        <v>#DIV/0!</v>
      </c>
    </row>
    <row r="43" spans="1:7" x14ac:dyDescent="0.3">
      <c r="B43">
        <v>60</v>
      </c>
      <c r="C43">
        <v>259</v>
      </c>
      <c r="D43" t="s">
        <v>6</v>
      </c>
      <c r="E43" s="3">
        <v>1</v>
      </c>
      <c r="F43" s="3">
        <v>1</v>
      </c>
      <c r="G43" s="11">
        <v>1</v>
      </c>
    </row>
    <row r="44" spans="1:7" x14ac:dyDescent="0.3">
      <c r="C44">
        <v>290</v>
      </c>
      <c r="D44" t="s">
        <v>12</v>
      </c>
      <c r="E44" s="3">
        <v>10</v>
      </c>
      <c r="F44" s="3">
        <v>10</v>
      </c>
      <c r="G44" s="11">
        <v>1</v>
      </c>
    </row>
    <row r="45" spans="1:7" x14ac:dyDescent="0.3">
      <c r="C45">
        <v>309</v>
      </c>
      <c r="D45" t="s">
        <v>6</v>
      </c>
      <c r="E45" s="3">
        <v>100</v>
      </c>
      <c r="F45" s="3">
        <v>100</v>
      </c>
      <c r="G45" s="11">
        <v>1</v>
      </c>
    </row>
    <row r="46" spans="1:7" x14ac:dyDescent="0.3">
      <c r="A46">
        <v>6</v>
      </c>
      <c r="B46">
        <v>61</v>
      </c>
      <c r="C46">
        <v>260</v>
      </c>
      <c r="D46" t="s">
        <v>5</v>
      </c>
      <c r="E46" s="3">
        <v>11</v>
      </c>
      <c r="F46" s="3">
        <v>11</v>
      </c>
      <c r="G46" s="11">
        <v>1</v>
      </c>
    </row>
    <row r="47" spans="1:7" x14ac:dyDescent="0.3">
      <c r="C47">
        <v>261</v>
      </c>
      <c r="D47" t="s">
        <v>5</v>
      </c>
      <c r="E47" s="3">
        <v>21</v>
      </c>
      <c r="F47" s="3">
        <v>21</v>
      </c>
      <c r="G47" s="11">
        <v>1</v>
      </c>
    </row>
    <row r="48" spans="1:7" x14ac:dyDescent="0.3">
      <c r="B48">
        <v>62</v>
      </c>
      <c r="C48">
        <v>262</v>
      </c>
      <c r="D48" t="s">
        <v>5</v>
      </c>
      <c r="E48" s="3">
        <v>6</v>
      </c>
      <c r="F48" s="3">
        <v>6</v>
      </c>
      <c r="G48" s="11">
        <v>1</v>
      </c>
    </row>
    <row r="49" spans="1:7" x14ac:dyDescent="0.3">
      <c r="C49">
        <v>263</v>
      </c>
      <c r="D49" t="s">
        <v>5</v>
      </c>
      <c r="E49" s="3">
        <v>1145</v>
      </c>
      <c r="F49" s="3">
        <v>1145</v>
      </c>
      <c r="G49" s="11">
        <v>1</v>
      </c>
    </row>
    <row r="50" spans="1:7" x14ac:dyDescent="0.3">
      <c r="C50">
        <v>264</v>
      </c>
      <c r="D50" t="s">
        <v>6</v>
      </c>
      <c r="E50" s="3">
        <v>2</v>
      </c>
      <c r="F50" s="3">
        <v>2</v>
      </c>
      <c r="G50" s="11">
        <v>1</v>
      </c>
    </row>
    <row r="51" spans="1:7" x14ac:dyDescent="0.3">
      <c r="B51">
        <v>63</v>
      </c>
      <c r="C51">
        <v>265</v>
      </c>
      <c r="D51" t="s">
        <v>5</v>
      </c>
      <c r="E51" s="3">
        <v>55</v>
      </c>
      <c r="F51" s="3">
        <v>55</v>
      </c>
      <c r="G51" s="11">
        <v>1</v>
      </c>
    </row>
    <row r="52" spans="1:7" x14ac:dyDescent="0.3">
      <c r="C52">
        <v>266</v>
      </c>
      <c r="D52" t="s">
        <v>5</v>
      </c>
      <c r="E52" s="3">
        <v>67</v>
      </c>
      <c r="F52" s="3">
        <v>67</v>
      </c>
      <c r="G52" s="11">
        <v>1</v>
      </c>
    </row>
    <row r="53" spans="1:7" x14ac:dyDescent="0.3">
      <c r="B53">
        <v>64</v>
      </c>
      <c r="C53">
        <v>267</v>
      </c>
      <c r="D53" t="s">
        <v>142</v>
      </c>
      <c r="E53" s="3">
        <v>12</v>
      </c>
      <c r="F53" s="3">
        <v>12</v>
      </c>
      <c r="G53" s="11">
        <v>1</v>
      </c>
    </row>
    <row r="54" spans="1:7" x14ac:dyDescent="0.3">
      <c r="B54">
        <v>67</v>
      </c>
      <c r="C54">
        <v>297</v>
      </c>
      <c r="D54" t="s">
        <v>12</v>
      </c>
      <c r="E54" s="3">
        <v>100</v>
      </c>
      <c r="F54" s="3">
        <v>100</v>
      </c>
      <c r="G54" s="11">
        <v>1</v>
      </c>
    </row>
    <row r="55" spans="1:7" x14ac:dyDescent="0.3">
      <c r="C55">
        <v>310</v>
      </c>
      <c r="D55" t="s">
        <v>6</v>
      </c>
      <c r="E55" s="3">
        <v>800000</v>
      </c>
      <c r="F55" s="3">
        <v>800000</v>
      </c>
      <c r="G55" s="11">
        <v>1</v>
      </c>
    </row>
    <row r="56" spans="1:7" x14ac:dyDescent="0.3">
      <c r="A56">
        <v>7</v>
      </c>
      <c r="B56">
        <v>65</v>
      </c>
      <c r="C56">
        <v>268</v>
      </c>
      <c r="D56" t="s">
        <v>148</v>
      </c>
      <c r="E56" s="3">
        <v>4350</v>
      </c>
      <c r="F56" s="3">
        <v>4350</v>
      </c>
      <c r="G56" s="11">
        <v>1</v>
      </c>
    </row>
    <row r="57" spans="1:7" x14ac:dyDescent="0.3">
      <c r="C57">
        <v>269</v>
      </c>
      <c r="D57" t="s">
        <v>148</v>
      </c>
      <c r="E57" s="3">
        <v>20</v>
      </c>
      <c r="F57" s="3">
        <v>20</v>
      </c>
      <c r="G57" s="11">
        <v>1</v>
      </c>
    </row>
    <row r="58" spans="1:7" x14ac:dyDescent="0.3">
      <c r="C58">
        <v>270</v>
      </c>
      <c r="D58" t="s">
        <v>149</v>
      </c>
      <c r="E58" s="3">
        <v>1945</v>
      </c>
      <c r="F58" s="3">
        <v>1801</v>
      </c>
      <c r="G58" s="11">
        <v>0.92596401028277631</v>
      </c>
    </row>
    <row r="59" spans="1:7" x14ac:dyDescent="0.3">
      <c r="C59">
        <v>271</v>
      </c>
      <c r="D59" t="s">
        <v>149</v>
      </c>
      <c r="E59" s="3">
        <v>100</v>
      </c>
      <c r="F59" s="3">
        <v>102</v>
      </c>
      <c r="G59" s="11">
        <v>1.02</v>
      </c>
    </row>
    <row r="60" spans="1:7" x14ac:dyDescent="0.3">
      <c r="B60">
        <v>66</v>
      </c>
      <c r="C60">
        <v>272</v>
      </c>
      <c r="D60" t="s">
        <v>5</v>
      </c>
      <c r="E60" s="3">
        <v>1</v>
      </c>
      <c r="F60" s="3">
        <v>1</v>
      </c>
      <c r="G60" s="11">
        <v>1</v>
      </c>
    </row>
    <row r="61" spans="1:7" x14ac:dyDescent="0.3">
      <c r="C61">
        <v>273</v>
      </c>
      <c r="D61" t="s">
        <v>5</v>
      </c>
      <c r="E61" s="3">
        <v>1</v>
      </c>
      <c r="F61" s="3">
        <v>1</v>
      </c>
      <c r="G61" s="11">
        <v>1</v>
      </c>
    </row>
    <row r="62" spans="1:7" x14ac:dyDescent="0.3">
      <c r="C62">
        <v>274</v>
      </c>
      <c r="D62" t="s">
        <v>3</v>
      </c>
      <c r="E62" s="3">
        <v>60</v>
      </c>
      <c r="F62" s="3">
        <v>60</v>
      </c>
      <c r="G62" s="11">
        <v>1</v>
      </c>
    </row>
    <row r="63" spans="1:7" x14ac:dyDescent="0.3">
      <c r="C63">
        <v>306</v>
      </c>
      <c r="D63" t="s">
        <v>3</v>
      </c>
      <c r="E63" s="3">
        <v>50</v>
      </c>
      <c r="F63" s="3">
        <v>373</v>
      </c>
      <c r="G63" s="11">
        <v>7.46</v>
      </c>
    </row>
    <row r="64" spans="1:7" x14ac:dyDescent="0.3">
      <c r="B64">
        <v>68</v>
      </c>
      <c r="C64">
        <v>275</v>
      </c>
      <c r="D64" t="s">
        <v>133</v>
      </c>
      <c r="E64" s="3">
        <v>150</v>
      </c>
      <c r="F64" s="3">
        <v>150</v>
      </c>
      <c r="G64" s="11">
        <v>1</v>
      </c>
    </row>
    <row r="65" spans="1:7" x14ac:dyDescent="0.3">
      <c r="C65">
        <v>276</v>
      </c>
      <c r="D65" t="s">
        <v>142</v>
      </c>
      <c r="E65" s="3">
        <v>8</v>
      </c>
      <c r="F65" s="3">
        <v>8</v>
      </c>
      <c r="G65" s="11">
        <v>1</v>
      </c>
    </row>
    <row r="66" spans="1:7" x14ac:dyDescent="0.3">
      <c r="A66">
        <v>8</v>
      </c>
      <c r="B66">
        <v>69</v>
      </c>
      <c r="C66">
        <v>277</v>
      </c>
      <c r="D66" t="s">
        <v>157</v>
      </c>
      <c r="E66" s="3">
        <v>90.8</v>
      </c>
      <c r="F66" s="3">
        <v>96</v>
      </c>
      <c r="G66" s="11">
        <v>1.0572687224669604</v>
      </c>
    </row>
    <row r="67" spans="1:7" x14ac:dyDescent="0.3">
      <c r="C67">
        <v>278</v>
      </c>
      <c r="D67" t="s">
        <v>60</v>
      </c>
      <c r="E67" s="3">
        <v>100</v>
      </c>
      <c r="F67" s="3">
        <v>100</v>
      </c>
      <c r="G67" s="11">
        <v>1</v>
      </c>
    </row>
    <row r="68" spans="1:7" x14ac:dyDescent="0.3">
      <c r="C68">
        <v>279</v>
      </c>
      <c r="D68" t="s">
        <v>99</v>
      </c>
      <c r="E68" s="3">
        <v>10</v>
      </c>
      <c r="F68" s="3">
        <v>9</v>
      </c>
      <c r="G68" s="11">
        <v>0.9</v>
      </c>
    </row>
    <row r="69" spans="1:7" x14ac:dyDescent="0.3">
      <c r="B69">
        <v>70</v>
      </c>
      <c r="C69">
        <v>283</v>
      </c>
      <c r="D69" t="s">
        <v>60</v>
      </c>
      <c r="E69" s="3">
        <v>43</v>
      </c>
      <c r="F69" s="3">
        <v>43</v>
      </c>
      <c r="G69" s="11">
        <v>1</v>
      </c>
    </row>
    <row r="70" spans="1:7" x14ac:dyDescent="0.3">
      <c r="B70">
        <v>71</v>
      </c>
      <c r="C70">
        <v>281</v>
      </c>
      <c r="D70" t="s">
        <v>60</v>
      </c>
      <c r="E70" s="3">
        <v>60</v>
      </c>
      <c r="F70" s="3">
        <v>60</v>
      </c>
      <c r="G70" s="11">
        <v>1</v>
      </c>
    </row>
    <row r="71" spans="1:7" x14ac:dyDescent="0.3">
      <c r="B71">
        <v>72</v>
      </c>
      <c r="C71">
        <v>282</v>
      </c>
      <c r="D71" t="s">
        <v>66</v>
      </c>
      <c r="E71" s="3">
        <v>100</v>
      </c>
      <c r="F71" s="3">
        <v>99</v>
      </c>
      <c r="G71" s="11">
        <v>0.99</v>
      </c>
    </row>
    <row r="72" spans="1:7" x14ac:dyDescent="0.3">
      <c r="B72">
        <v>73</v>
      </c>
      <c r="C72">
        <v>280</v>
      </c>
      <c r="D72" t="s">
        <v>60</v>
      </c>
      <c r="E72" s="3">
        <v>100</v>
      </c>
      <c r="F72" s="3">
        <v>100</v>
      </c>
      <c r="G72" s="11">
        <v>1</v>
      </c>
    </row>
    <row r="73" spans="1:7" x14ac:dyDescent="0.3">
      <c r="B73">
        <v>74</v>
      </c>
      <c r="C73">
        <v>284</v>
      </c>
      <c r="D73" t="s">
        <v>155</v>
      </c>
      <c r="E73" s="3">
        <v>90</v>
      </c>
      <c r="F73" s="3">
        <v>94</v>
      </c>
      <c r="G73" s="11">
        <v>1.0444444444444445</v>
      </c>
    </row>
    <row r="74" spans="1:7" x14ac:dyDescent="0.3">
      <c r="C74">
        <v>285</v>
      </c>
      <c r="D74" t="s">
        <v>155</v>
      </c>
      <c r="E74" s="3">
        <v>80</v>
      </c>
      <c r="F74" s="3">
        <v>94</v>
      </c>
      <c r="G74" s="11">
        <v>1.175</v>
      </c>
    </row>
    <row r="75" spans="1:7" x14ac:dyDescent="0.3">
      <c r="B75">
        <v>75</v>
      </c>
      <c r="C75">
        <v>286</v>
      </c>
      <c r="D75" t="s">
        <v>153</v>
      </c>
      <c r="E75" s="3">
        <v>91</v>
      </c>
      <c r="F75" s="3">
        <v>91</v>
      </c>
      <c r="G75" s="11">
        <v>1</v>
      </c>
    </row>
    <row r="76" spans="1:7" x14ac:dyDescent="0.3">
      <c r="B76">
        <v>76</v>
      </c>
      <c r="C76">
        <v>287</v>
      </c>
      <c r="D76" t="s">
        <v>154</v>
      </c>
      <c r="E76" s="3">
        <v>2</v>
      </c>
      <c r="F76" s="3">
        <v>2</v>
      </c>
      <c r="G76" s="11">
        <v>1</v>
      </c>
    </row>
    <row r="77" spans="1:7" x14ac:dyDescent="0.3">
      <c r="B77">
        <v>77</v>
      </c>
      <c r="C77">
        <v>288</v>
      </c>
      <c r="D77" t="s">
        <v>1</v>
      </c>
      <c r="E77" s="3">
        <v>78</v>
      </c>
      <c r="F77" s="3">
        <v>89.66</v>
      </c>
      <c r="G77" s="11">
        <v>1.1494871794871795</v>
      </c>
    </row>
    <row r="78" spans="1:7" x14ac:dyDescent="0.3">
      <c r="A78" s="1" t="s">
        <v>104</v>
      </c>
      <c r="B78" s="1"/>
      <c r="E78" s="3">
        <v>10003745109.799999</v>
      </c>
      <c r="F78" s="3">
        <v>11364824482.66</v>
      </c>
      <c r="G78" s="11">
        <v>1.2884016876277322</v>
      </c>
    </row>
    <row r="79" spans="1:7" x14ac:dyDescent="0.3">
      <c r="C79"/>
      <c r="D79"/>
      <c r="E79"/>
      <c r="F79"/>
      <c r="G79"/>
    </row>
    <row r="80" spans="1:7" x14ac:dyDescent="0.3">
      <c r="C80"/>
      <c r="D80"/>
      <c r="E80"/>
      <c r="F80"/>
      <c r="G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EA6D-E229-4CB8-B0AC-F4E3A1E2CD8E}">
  <sheetPr>
    <tabColor rgb="FF002060"/>
  </sheetPr>
  <dimension ref="A1:W82"/>
  <sheetViews>
    <sheetView showGridLines="0" topLeftCell="M1" zoomScale="80" zoomScaleNormal="80" zoomScaleSheetLayoutView="85" workbookViewId="0">
      <pane ySplit="4" topLeftCell="A5" activePane="bottomLeft" state="frozen"/>
      <selection pane="bottomLeft"/>
    </sheetView>
  </sheetViews>
  <sheetFormatPr baseColWidth="10" defaultColWidth="11.44140625" defaultRowHeight="14.4" outlineLevelCol="1" x14ac:dyDescent="0.25"/>
  <cols>
    <col min="1" max="3" width="11.44140625" style="42" customWidth="1" outlineLevel="1"/>
    <col min="4" max="4" width="6.5546875" style="43" customWidth="1"/>
    <col min="5" max="5" width="27.109375" style="44" customWidth="1"/>
    <col min="6" max="6" width="17.109375" style="44" customWidth="1"/>
    <col min="7" max="7" width="5" style="43" customWidth="1"/>
    <col min="8" max="8" width="39.33203125" style="44" customWidth="1"/>
    <col min="9" max="9" width="5" style="43" customWidth="1"/>
    <col min="10" max="10" width="26.33203125" style="47" customWidth="1"/>
    <col min="11" max="11" width="47.44140625" style="44" customWidth="1"/>
    <col min="12" max="12" width="38.6640625" style="44" customWidth="1"/>
    <col min="13" max="13" width="18.6640625" style="44" customWidth="1"/>
    <col min="14" max="14" width="20.33203125" style="43" customWidth="1"/>
    <col min="15" max="17" width="18.6640625" style="44" customWidth="1"/>
    <col min="18" max="18" width="60.6640625" style="44" hidden="1" customWidth="1" outlineLevel="1"/>
    <col min="19" max="19" width="20.33203125" style="44" customWidth="1" collapsed="1"/>
    <col min="20" max="20" width="18.6640625" style="44" customWidth="1" outlineLevel="1"/>
    <col min="21" max="21" width="60.6640625" style="44" customWidth="1" outlineLevel="1"/>
    <col min="22" max="23" width="18.6640625" style="44" customWidth="1"/>
    <col min="24" max="16384" width="11.44140625" style="42"/>
  </cols>
  <sheetData>
    <row r="1" spans="1:23" s="13" customFormat="1" ht="33" customHeight="1" x14ac:dyDescent="0.3">
      <c r="A1" s="114" t="s">
        <v>372</v>
      </c>
      <c r="D1" s="198"/>
      <c r="E1" s="199"/>
      <c r="F1" s="199"/>
      <c r="G1" s="199"/>
      <c r="H1" s="200"/>
      <c r="I1" s="192" t="s">
        <v>236</v>
      </c>
      <c r="J1" s="192"/>
      <c r="K1" s="192"/>
      <c r="L1" s="192"/>
      <c r="M1" s="192"/>
      <c r="N1" s="192"/>
      <c r="O1" s="192"/>
      <c r="P1" s="192"/>
      <c r="Q1" s="192"/>
      <c r="R1" s="192"/>
      <c r="S1" s="192"/>
      <c r="T1" s="192"/>
      <c r="U1" s="192"/>
      <c r="V1" s="192"/>
      <c r="W1" s="193"/>
    </row>
    <row r="2" spans="1:23" s="14" customFormat="1" ht="33" customHeight="1" x14ac:dyDescent="0.3">
      <c r="D2" s="201"/>
      <c r="E2" s="202"/>
      <c r="F2" s="202"/>
      <c r="G2" s="202"/>
      <c r="H2" s="203"/>
      <c r="I2" s="194"/>
      <c r="J2" s="194"/>
      <c r="K2" s="194"/>
      <c r="L2" s="194"/>
      <c r="M2" s="194"/>
      <c r="N2" s="194"/>
      <c r="O2" s="194"/>
      <c r="P2" s="194"/>
      <c r="Q2" s="194"/>
      <c r="R2" s="194"/>
      <c r="S2" s="194"/>
      <c r="T2" s="194"/>
      <c r="U2" s="194"/>
      <c r="V2" s="194"/>
      <c r="W2" s="195"/>
    </row>
    <row r="3" spans="1:23" s="13" customFormat="1" ht="38.25" customHeight="1" thickBot="1" x14ac:dyDescent="0.35">
      <c r="D3" s="204"/>
      <c r="E3" s="205"/>
      <c r="F3" s="205"/>
      <c r="G3" s="205"/>
      <c r="H3" s="206"/>
      <c r="I3" s="196"/>
      <c r="J3" s="196"/>
      <c r="K3" s="196"/>
      <c r="L3" s="196"/>
      <c r="M3" s="196"/>
      <c r="N3" s="196"/>
      <c r="O3" s="196"/>
      <c r="P3" s="196"/>
      <c r="Q3" s="196"/>
      <c r="R3" s="196"/>
      <c r="S3" s="196"/>
      <c r="T3" s="196"/>
      <c r="U3" s="196"/>
      <c r="V3" s="196"/>
      <c r="W3" s="197"/>
    </row>
    <row r="4" spans="1:23" s="16" customFormat="1" ht="51.75" customHeight="1" thickBot="1" x14ac:dyDescent="0.35">
      <c r="A4" s="15" t="s">
        <v>237</v>
      </c>
      <c r="B4" s="15" t="s">
        <v>238</v>
      </c>
      <c r="C4" s="73" t="s">
        <v>239</v>
      </c>
      <c r="D4" s="106" t="s">
        <v>240</v>
      </c>
      <c r="E4" s="107" t="s">
        <v>241</v>
      </c>
      <c r="F4" s="107" t="s">
        <v>242</v>
      </c>
      <c r="G4" s="107" t="s">
        <v>243</v>
      </c>
      <c r="H4" s="107" t="s">
        <v>244</v>
      </c>
      <c r="I4" s="107" t="s">
        <v>243</v>
      </c>
      <c r="J4" s="107" t="s">
        <v>245</v>
      </c>
      <c r="K4" s="107" t="s">
        <v>246</v>
      </c>
      <c r="L4" s="107" t="s">
        <v>247</v>
      </c>
      <c r="M4" s="107" t="s">
        <v>248</v>
      </c>
      <c r="N4" s="108" t="s">
        <v>249</v>
      </c>
      <c r="O4" s="115" t="s">
        <v>371</v>
      </c>
      <c r="P4" s="109" t="s">
        <v>250</v>
      </c>
      <c r="Q4" s="116" t="s">
        <v>373</v>
      </c>
      <c r="R4" s="109" t="s">
        <v>370</v>
      </c>
      <c r="S4" s="113" t="s">
        <v>252</v>
      </c>
      <c r="T4" s="110" t="s">
        <v>368</v>
      </c>
      <c r="U4" s="111" t="s">
        <v>251</v>
      </c>
      <c r="V4" s="109" t="s">
        <v>253</v>
      </c>
      <c r="W4" s="112" t="s">
        <v>254</v>
      </c>
    </row>
    <row r="5" spans="1:23" s="20" customFormat="1" ht="120" customHeight="1" x14ac:dyDescent="0.3">
      <c r="A5" s="17">
        <v>1</v>
      </c>
      <c r="B5" s="17">
        <v>31</v>
      </c>
      <c r="C5" s="74">
        <v>221</v>
      </c>
      <c r="D5" s="208">
        <v>1</v>
      </c>
      <c r="E5" s="209" t="s">
        <v>255</v>
      </c>
      <c r="F5" s="209" t="s">
        <v>256</v>
      </c>
      <c r="G5" s="209">
        <v>1</v>
      </c>
      <c r="H5" s="210" t="s">
        <v>0</v>
      </c>
      <c r="I5" s="209">
        <v>1</v>
      </c>
      <c r="J5" s="209" t="s">
        <v>257</v>
      </c>
      <c r="K5" s="75" t="s">
        <v>258</v>
      </c>
      <c r="L5" s="76" t="s">
        <v>257</v>
      </c>
      <c r="M5" s="76" t="s">
        <v>259</v>
      </c>
      <c r="N5" s="105">
        <v>1</v>
      </c>
      <c r="O5" s="80" t="s">
        <v>260</v>
      </c>
      <c r="P5" s="76" t="s">
        <v>260</v>
      </c>
      <c r="Q5" s="76" t="s">
        <v>260</v>
      </c>
      <c r="R5" s="77" t="s">
        <v>173</v>
      </c>
      <c r="S5" s="80" t="s">
        <v>260</v>
      </c>
      <c r="T5" s="78"/>
      <c r="U5" s="78"/>
      <c r="V5" s="78" t="s">
        <v>260</v>
      </c>
      <c r="W5" s="79">
        <v>1</v>
      </c>
    </row>
    <row r="6" spans="1:23" s="20" customFormat="1" ht="120" customHeight="1" x14ac:dyDescent="0.3">
      <c r="A6" s="17">
        <v>1</v>
      </c>
      <c r="B6" s="17">
        <v>31</v>
      </c>
      <c r="C6" s="74">
        <v>222</v>
      </c>
      <c r="D6" s="207"/>
      <c r="E6" s="189"/>
      <c r="F6" s="189"/>
      <c r="G6" s="189"/>
      <c r="H6" s="190"/>
      <c r="I6" s="189"/>
      <c r="J6" s="189"/>
      <c r="K6" s="69" t="s">
        <v>2</v>
      </c>
      <c r="L6" s="66" t="s">
        <v>257</v>
      </c>
      <c r="M6" s="66" t="s">
        <v>259</v>
      </c>
      <c r="N6" s="81">
        <v>0.25</v>
      </c>
      <c r="O6" s="81" t="s">
        <v>259</v>
      </c>
      <c r="P6" s="50">
        <v>0.25</v>
      </c>
      <c r="Q6" s="50">
        <v>0.25</v>
      </c>
      <c r="R6" s="68" t="s">
        <v>369</v>
      </c>
      <c r="S6" s="90">
        <v>0.25</v>
      </c>
      <c r="T6" s="50"/>
      <c r="U6" s="50"/>
      <c r="V6" s="50">
        <v>0.25</v>
      </c>
      <c r="W6" s="62">
        <v>0.25</v>
      </c>
    </row>
    <row r="7" spans="1:23" s="20" customFormat="1" ht="120" customHeight="1" x14ac:dyDescent="0.3">
      <c r="A7" s="17">
        <v>1</v>
      </c>
      <c r="B7" s="17">
        <v>31</v>
      </c>
      <c r="C7" s="74">
        <v>304</v>
      </c>
      <c r="D7" s="207"/>
      <c r="E7" s="189"/>
      <c r="F7" s="189"/>
      <c r="G7" s="189"/>
      <c r="H7" s="190"/>
      <c r="I7" s="189"/>
      <c r="J7" s="189"/>
      <c r="K7" s="69" t="s">
        <v>4</v>
      </c>
      <c r="L7" s="66" t="s">
        <v>261</v>
      </c>
      <c r="M7" s="66">
        <v>2</v>
      </c>
      <c r="N7" s="82">
        <v>5</v>
      </c>
      <c r="O7" s="82" t="s">
        <v>260</v>
      </c>
      <c r="P7" s="51">
        <v>3</v>
      </c>
      <c r="Q7" s="51">
        <v>3</v>
      </c>
      <c r="R7" s="68" t="s">
        <v>195</v>
      </c>
      <c r="S7" s="82">
        <v>1</v>
      </c>
      <c r="T7" s="51"/>
      <c r="U7" s="51"/>
      <c r="V7" s="51">
        <v>1</v>
      </c>
      <c r="W7" s="19" t="s">
        <v>260</v>
      </c>
    </row>
    <row r="8" spans="1:23" s="20" customFormat="1" ht="120" customHeight="1" x14ac:dyDescent="0.3">
      <c r="A8" s="17">
        <v>1</v>
      </c>
      <c r="B8" s="17">
        <v>32</v>
      </c>
      <c r="C8" s="74">
        <v>223</v>
      </c>
      <c r="D8" s="207"/>
      <c r="E8" s="189"/>
      <c r="F8" s="189"/>
      <c r="G8" s="189">
        <v>2</v>
      </c>
      <c r="H8" s="191" t="s">
        <v>262</v>
      </c>
      <c r="I8" s="189">
        <v>2</v>
      </c>
      <c r="J8" s="189" t="s">
        <v>256</v>
      </c>
      <c r="K8" s="69" t="s">
        <v>120</v>
      </c>
      <c r="L8" s="66" t="s">
        <v>263</v>
      </c>
      <c r="M8" s="66" t="s">
        <v>259</v>
      </c>
      <c r="N8" s="84">
        <v>3</v>
      </c>
      <c r="O8" s="82" t="s">
        <v>260</v>
      </c>
      <c r="P8" s="66" t="s">
        <v>260</v>
      </c>
      <c r="Q8" s="66" t="s">
        <v>260</v>
      </c>
      <c r="R8" s="92" t="s">
        <v>171</v>
      </c>
      <c r="S8" s="93" t="s">
        <v>260</v>
      </c>
      <c r="T8" s="18"/>
      <c r="U8" s="18"/>
      <c r="V8" s="18">
        <v>2</v>
      </c>
      <c r="W8" s="19">
        <v>3</v>
      </c>
    </row>
    <row r="9" spans="1:23" s="20" customFormat="1" ht="120" customHeight="1" x14ac:dyDescent="0.3">
      <c r="A9" s="17">
        <v>1</v>
      </c>
      <c r="B9" s="17">
        <v>32</v>
      </c>
      <c r="C9" s="74">
        <v>224</v>
      </c>
      <c r="D9" s="207"/>
      <c r="E9" s="189"/>
      <c r="F9" s="189"/>
      <c r="G9" s="189"/>
      <c r="H9" s="191"/>
      <c r="I9" s="189"/>
      <c r="J9" s="189"/>
      <c r="K9" s="69" t="s">
        <v>121</v>
      </c>
      <c r="L9" s="66" t="s">
        <v>264</v>
      </c>
      <c r="M9" s="66" t="s">
        <v>259</v>
      </c>
      <c r="N9" s="84">
        <v>3</v>
      </c>
      <c r="O9" s="82" t="s">
        <v>260</v>
      </c>
      <c r="P9" s="66" t="s">
        <v>260</v>
      </c>
      <c r="Q9" s="66" t="s">
        <v>260</v>
      </c>
      <c r="R9" s="68" t="s">
        <v>172</v>
      </c>
      <c r="S9" s="93">
        <v>1</v>
      </c>
      <c r="T9" s="18"/>
      <c r="U9" s="18"/>
      <c r="V9" s="18">
        <v>2</v>
      </c>
      <c r="W9" s="19">
        <v>3</v>
      </c>
    </row>
    <row r="10" spans="1:23" s="20" customFormat="1" ht="120" customHeight="1" x14ac:dyDescent="0.3">
      <c r="A10" s="17">
        <v>1</v>
      </c>
      <c r="B10" s="17">
        <v>32</v>
      </c>
      <c r="C10" s="74">
        <v>226</v>
      </c>
      <c r="D10" s="207"/>
      <c r="E10" s="189"/>
      <c r="F10" s="189"/>
      <c r="G10" s="189"/>
      <c r="H10" s="191"/>
      <c r="I10" s="189"/>
      <c r="J10" s="189"/>
      <c r="K10" s="69" t="s">
        <v>265</v>
      </c>
      <c r="L10" s="66" t="s">
        <v>266</v>
      </c>
      <c r="M10" s="66" t="s">
        <v>260</v>
      </c>
      <c r="N10" s="83">
        <v>1</v>
      </c>
      <c r="O10" s="83" t="s">
        <v>259</v>
      </c>
      <c r="P10" s="52">
        <v>0.25</v>
      </c>
      <c r="Q10" s="52">
        <v>0.35</v>
      </c>
      <c r="R10" s="68" t="s">
        <v>125</v>
      </c>
      <c r="S10" s="94">
        <v>0.25</v>
      </c>
      <c r="T10" s="22"/>
      <c r="U10" s="22"/>
      <c r="V10" s="22">
        <v>0.25</v>
      </c>
      <c r="W10" s="23">
        <v>0.25</v>
      </c>
    </row>
    <row r="11" spans="1:23" s="20" customFormat="1" ht="120" customHeight="1" x14ac:dyDescent="0.3">
      <c r="A11" s="17">
        <v>1</v>
      </c>
      <c r="B11" s="17">
        <v>32</v>
      </c>
      <c r="C11" s="74">
        <v>227</v>
      </c>
      <c r="D11" s="207"/>
      <c r="E11" s="189"/>
      <c r="F11" s="189"/>
      <c r="G11" s="189"/>
      <c r="H11" s="191"/>
      <c r="I11" s="189"/>
      <c r="J11" s="189"/>
      <c r="K11" s="69" t="s">
        <v>267</v>
      </c>
      <c r="L11" s="66" t="s">
        <v>261</v>
      </c>
      <c r="M11" s="66">
        <v>1</v>
      </c>
      <c r="N11" s="82">
        <v>3</v>
      </c>
      <c r="O11" s="82" t="s">
        <v>260</v>
      </c>
      <c r="P11" s="66">
        <v>1</v>
      </c>
      <c r="Q11" s="66">
        <v>1</v>
      </c>
      <c r="R11" s="68" t="s">
        <v>194</v>
      </c>
      <c r="S11" s="95">
        <v>1</v>
      </c>
      <c r="T11" s="24"/>
      <c r="U11" s="24"/>
      <c r="V11" s="24">
        <v>1</v>
      </c>
      <c r="W11" s="25">
        <v>0</v>
      </c>
    </row>
    <row r="12" spans="1:23" s="20" customFormat="1" ht="120" customHeight="1" x14ac:dyDescent="0.3">
      <c r="A12" s="17">
        <v>1</v>
      </c>
      <c r="B12" s="17">
        <v>33</v>
      </c>
      <c r="C12" s="74">
        <v>228</v>
      </c>
      <c r="D12" s="207"/>
      <c r="E12" s="189"/>
      <c r="F12" s="189"/>
      <c r="G12" s="66">
        <v>3</v>
      </c>
      <c r="H12" s="53" t="s">
        <v>7</v>
      </c>
      <c r="I12" s="66">
        <v>3</v>
      </c>
      <c r="J12" s="66" t="s">
        <v>261</v>
      </c>
      <c r="K12" s="69" t="s">
        <v>268</v>
      </c>
      <c r="L12" s="66" t="s">
        <v>269</v>
      </c>
      <c r="M12" s="66">
        <v>10</v>
      </c>
      <c r="N12" s="84">
        <v>10</v>
      </c>
      <c r="O12" s="84">
        <f>+Q12-P12</f>
        <v>3</v>
      </c>
      <c r="P12" s="66">
        <v>1</v>
      </c>
      <c r="Q12" s="66">
        <v>4</v>
      </c>
      <c r="R12" s="68" t="s">
        <v>196</v>
      </c>
      <c r="S12" s="93">
        <v>2</v>
      </c>
      <c r="T12" s="18"/>
      <c r="U12" s="18"/>
      <c r="V12" s="18">
        <v>3</v>
      </c>
      <c r="W12" s="19">
        <v>4</v>
      </c>
    </row>
    <row r="13" spans="1:23" s="20" customFormat="1" ht="120" customHeight="1" x14ac:dyDescent="0.3">
      <c r="A13" s="17">
        <v>2</v>
      </c>
      <c r="B13" s="17">
        <v>47</v>
      </c>
      <c r="C13" s="74">
        <v>229</v>
      </c>
      <c r="D13" s="207">
        <v>2</v>
      </c>
      <c r="E13" s="189" t="s">
        <v>270</v>
      </c>
      <c r="F13" s="189" t="s">
        <v>271</v>
      </c>
      <c r="G13" s="189">
        <v>1</v>
      </c>
      <c r="H13" s="190" t="s">
        <v>272</v>
      </c>
      <c r="I13" s="189">
        <v>1</v>
      </c>
      <c r="J13" s="189" t="s">
        <v>273</v>
      </c>
      <c r="K13" s="69" t="s">
        <v>274</v>
      </c>
      <c r="L13" s="66" t="s">
        <v>273</v>
      </c>
      <c r="M13" s="49">
        <v>0.93</v>
      </c>
      <c r="N13" s="81">
        <v>1</v>
      </c>
      <c r="O13" s="81" t="s">
        <v>259</v>
      </c>
      <c r="P13" s="52">
        <v>0.93</v>
      </c>
      <c r="Q13" s="52">
        <v>0.93</v>
      </c>
      <c r="R13" s="68" t="s">
        <v>224</v>
      </c>
      <c r="S13" s="94">
        <v>0.96</v>
      </c>
      <c r="T13" s="22"/>
      <c r="U13" s="22"/>
      <c r="V13" s="22">
        <v>0.98</v>
      </c>
      <c r="W13" s="23">
        <v>1</v>
      </c>
    </row>
    <row r="14" spans="1:23" s="20" customFormat="1" ht="120" customHeight="1" x14ac:dyDescent="0.3">
      <c r="A14" s="17">
        <v>2</v>
      </c>
      <c r="B14" s="17">
        <v>47</v>
      </c>
      <c r="C14" s="74">
        <v>230</v>
      </c>
      <c r="D14" s="207"/>
      <c r="E14" s="189"/>
      <c r="F14" s="189"/>
      <c r="G14" s="189"/>
      <c r="H14" s="190"/>
      <c r="I14" s="189"/>
      <c r="J14" s="189"/>
      <c r="K14" s="69" t="s">
        <v>11</v>
      </c>
      <c r="L14" s="66" t="s">
        <v>273</v>
      </c>
      <c r="M14" s="66">
        <v>547</v>
      </c>
      <c r="N14" s="85">
        <v>2547</v>
      </c>
      <c r="O14" s="85">
        <f>+Q14-P14</f>
        <v>2055</v>
      </c>
      <c r="P14" s="55">
        <v>1047</v>
      </c>
      <c r="Q14" s="55">
        <v>3102</v>
      </c>
      <c r="R14" s="68" t="s">
        <v>230</v>
      </c>
      <c r="S14" s="96">
        <v>1547</v>
      </c>
      <c r="T14" s="27"/>
      <c r="U14" s="27"/>
      <c r="V14" s="27">
        <v>2047</v>
      </c>
      <c r="W14" s="28">
        <v>2547</v>
      </c>
    </row>
    <row r="15" spans="1:23" s="20" customFormat="1" ht="120" customHeight="1" x14ac:dyDescent="0.3">
      <c r="A15" s="17">
        <v>2</v>
      </c>
      <c r="B15" s="17">
        <v>47</v>
      </c>
      <c r="C15" s="74">
        <v>231</v>
      </c>
      <c r="D15" s="207"/>
      <c r="E15" s="189"/>
      <c r="F15" s="189"/>
      <c r="G15" s="189"/>
      <c r="H15" s="190"/>
      <c r="I15" s="189"/>
      <c r="J15" s="189"/>
      <c r="K15" s="69" t="s">
        <v>128</v>
      </c>
      <c r="L15" s="66" t="s">
        <v>273</v>
      </c>
      <c r="M15" s="66">
        <v>1063</v>
      </c>
      <c r="N15" s="84">
        <v>1134</v>
      </c>
      <c r="O15" s="82" t="s">
        <v>260</v>
      </c>
      <c r="P15" s="55" t="s">
        <v>260</v>
      </c>
      <c r="Q15" s="55" t="s">
        <v>260</v>
      </c>
      <c r="R15" s="68" t="s">
        <v>129</v>
      </c>
      <c r="S15" s="96">
        <v>1134</v>
      </c>
      <c r="T15" s="27"/>
      <c r="U15" s="27"/>
      <c r="V15" s="27" t="s">
        <v>260</v>
      </c>
      <c r="W15" s="28"/>
    </row>
    <row r="16" spans="1:23" s="20" customFormat="1" ht="120" customHeight="1" x14ac:dyDescent="0.3">
      <c r="A16" s="17">
        <v>2</v>
      </c>
      <c r="B16" s="17">
        <v>49</v>
      </c>
      <c r="C16" s="74">
        <v>233</v>
      </c>
      <c r="D16" s="207"/>
      <c r="E16" s="189"/>
      <c r="F16" s="189"/>
      <c r="G16" s="189">
        <v>3</v>
      </c>
      <c r="H16" s="191" t="s">
        <v>275</v>
      </c>
      <c r="I16" s="189">
        <v>3</v>
      </c>
      <c r="J16" s="189" t="s">
        <v>276</v>
      </c>
      <c r="K16" s="69" t="s">
        <v>13</v>
      </c>
      <c r="L16" s="66" t="s">
        <v>276</v>
      </c>
      <c r="M16" s="66">
        <v>11</v>
      </c>
      <c r="N16" s="84">
        <v>16</v>
      </c>
      <c r="O16" s="84">
        <f>+Q16-P16</f>
        <v>1</v>
      </c>
      <c r="P16" s="66">
        <v>16</v>
      </c>
      <c r="Q16" s="66">
        <v>17</v>
      </c>
      <c r="R16" s="68" t="s">
        <v>197</v>
      </c>
      <c r="S16" s="93">
        <v>16</v>
      </c>
      <c r="T16" s="18"/>
      <c r="U16" s="18"/>
      <c r="V16" s="18">
        <v>16</v>
      </c>
      <c r="W16" s="19">
        <v>16</v>
      </c>
    </row>
    <row r="17" spans="1:23" s="20" customFormat="1" ht="120" customHeight="1" x14ac:dyDescent="0.3">
      <c r="A17" s="17">
        <v>2</v>
      </c>
      <c r="B17" s="17">
        <v>49</v>
      </c>
      <c r="C17" s="74">
        <v>234</v>
      </c>
      <c r="D17" s="207"/>
      <c r="E17" s="189"/>
      <c r="F17" s="189"/>
      <c r="G17" s="189"/>
      <c r="H17" s="191"/>
      <c r="I17" s="189"/>
      <c r="J17" s="189"/>
      <c r="K17" s="69" t="s">
        <v>14</v>
      </c>
      <c r="L17" s="66" t="s">
        <v>276</v>
      </c>
      <c r="M17" s="66">
        <v>7</v>
      </c>
      <c r="N17" s="84">
        <v>10</v>
      </c>
      <c r="O17" s="84">
        <f>+Q17-P17</f>
        <v>2</v>
      </c>
      <c r="P17" s="66">
        <v>8</v>
      </c>
      <c r="Q17" s="66">
        <v>10</v>
      </c>
      <c r="R17" s="68" t="s">
        <v>198</v>
      </c>
      <c r="S17" s="93">
        <v>9</v>
      </c>
      <c r="T17" s="18"/>
      <c r="U17" s="18"/>
      <c r="V17" s="18">
        <v>10</v>
      </c>
      <c r="W17" s="19">
        <v>10</v>
      </c>
    </row>
    <row r="18" spans="1:23" s="20" customFormat="1" ht="120" customHeight="1" x14ac:dyDescent="0.3">
      <c r="A18" s="17">
        <v>2</v>
      </c>
      <c r="B18" s="17">
        <v>49</v>
      </c>
      <c r="C18" s="74">
        <v>289</v>
      </c>
      <c r="D18" s="207"/>
      <c r="E18" s="189"/>
      <c r="F18" s="189"/>
      <c r="G18" s="189"/>
      <c r="H18" s="191"/>
      <c r="I18" s="189"/>
      <c r="J18" s="189"/>
      <c r="K18" s="69" t="s">
        <v>277</v>
      </c>
      <c r="L18" s="66" t="s">
        <v>278</v>
      </c>
      <c r="M18" s="66" t="s">
        <v>279</v>
      </c>
      <c r="N18" s="84">
        <v>2</v>
      </c>
      <c r="O18" s="84">
        <f>+Q18-P18</f>
        <v>-1</v>
      </c>
      <c r="P18" s="66">
        <v>1</v>
      </c>
      <c r="Q18" s="66">
        <v>0</v>
      </c>
      <c r="R18" s="68" t="s">
        <v>219</v>
      </c>
      <c r="S18" s="93">
        <v>2</v>
      </c>
      <c r="T18" s="18"/>
      <c r="U18" s="18"/>
      <c r="V18" s="18">
        <v>2</v>
      </c>
      <c r="W18" s="19">
        <v>2</v>
      </c>
    </row>
    <row r="19" spans="1:23" s="20" customFormat="1" ht="120" customHeight="1" x14ac:dyDescent="0.3">
      <c r="A19" s="17">
        <v>2</v>
      </c>
      <c r="B19" s="17">
        <v>50</v>
      </c>
      <c r="C19" s="74">
        <v>235</v>
      </c>
      <c r="D19" s="207"/>
      <c r="E19" s="189"/>
      <c r="F19" s="189"/>
      <c r="G19" s="189">
        <v>4</v>
      </c>
      <c r="H19" s="190" t="s">
        <v>280</v>
      </c>
      <c r="I19" s="189">
        <v>4</v>
      </c>
      <c r="J19" s="66" t="s">
        <v>281</v>
      </c>
      <c r="K19" s="69" t="s">
        <v>282</v>
      </c>
      <c r="L19" s="66" t="s">
        <v>281</v>
      </c>
      <c r="M19" s="66" t="s">
        <v>260</v>
      </c>
      <c r="N19" s="84">
        <v>10</v>
      </c>
      <c r="O19" s="84">
        <f>+Q19-P19</f>
        <v>4</v>
      </c>
      <c r="P19" s="66">
        <v>3</v>
      </c>
      <c r="Q19" s="66">
        <v>7</v>
      </c>
      <c r="R19" s="68" t="s">
        <v>199</v>
      </c>
      <c r="S19" s="93">
        <v>6</v>
      </c>
      <c r="T19" s="18"/>
      <c r="U19" s="18"/>
      <c r="V19" s="18">
        <v>9</v>
      </c>
      <c r="W19" s="19">
        <v>10</v>
      </c>
    </row>
    <row r="20" spans="1:23" s="20" customFormat="1" ht="120" customHeight="1" x14ac:dyDescent="0.3">
      <c r="A20" s="17">
        <v>2</v>
      </c>
      <c r="B20" s="17">
        <v>50</v>
      </c>
      <c r="C20" s="74">
        <v>236</v>
      </c>
      <c r="D20" s="207"/>
      <c r="E20" s="189"/>
      <c r="F20" s="189"/>
      <c r="G20" s="189"/>
      <c r="H20" s="190"/>
      <c r="I20" s="189"/>
      <c r="J20" s="66" t="s">
        <v>281</v>
      </c>
      <c r="K20" s="69" t="s">
        <v>16</v>
      </c>
      <c r="L20" s="66" t="s">
        <v>281</v>
      </c>
      <c r="M20" s="66" t="s">
        <v>260</v>
      </c>
      <c r="N20" s="84">
        <v>5</v>
      </c>
      <c r="O20" s="84">
        <f>+Q20-P20</f>
        <v>3</v>
      </c>
      <c r="P20" s="66">
        <v>1</v>
      </c>
      <c r="Q20" s="66">
        <v>4</v>
      </c>
      <c r="R20" s="68" t="s">
        <v>200</v>
      </c>
      <c r="S20" s="93">
        <v>2</v>
      </c>
      <c r="T20" s="18"/>
      <c r="U20" s="18"/>
      <c r="V20" s="18">
        <v>4</v>
      </c>
      <c r="W20" s="19">
        <v>5</v>
      </c>
    </row>
    <row r="21" spans="1:23" s="20" customFormat="1" ht="120" customHeight="1" x14ac:dyDescent="0.3">
      <c r="A21" s="17">
        <v>2</v>
      </c>
      <c r="B21" s="17">
        <v>51</v>
      </c>
      <c r="C21" s="74">
        <v>237</v>
      </c>
      <c r="D21" s="207"/>
      <c r="E21" s="189"/>
      <c r="F21" s="189"/>
      <c r="G21" s="66">
        <v>5</v>
      </c>
      <c r="H21" s="69" t="s">
        <v>17</v>
      </c>
      <c r="I21" s="66">
        <v>5</v>
      </c>
      <c r="J21" s="66" t="s">
        <v>283</v>
      </c>
      <c r="K21" s="69" t="s">
        <v>18</v>
      </c>
      <c r="L21" s="66" t="s">
        <v>283</v>
      </c>
      <c r="M21" s="49">
        <v>1</v>
      </c>
      <c r="N21" s="81">
        <v>1</v>
      </c>
      <c r="O21" s="81" t="s">
        <v>259</v>
      </c>
      <c r="P21" s="49">
        <v>1</v>
      </c>
      <c r="Q21" s="49">
        <v>0.56000000000000005</v>
      </c>
      <c r="R21" s="68" t="s">
        <v>130</v>
      </c>
      <c r="S21" s="97">
        <v>1</v>
      </c>
      <c r="T21" s="21"/>
      <c r="U21" s="21"/>
      <c r="V21" s="21">
        <v>1</v>
      </c>
      <c r="W21" s="29">
        <v>1</v>
      </c>
    </row>
    <row r="22" spans="1:23" s="20" customFormat="1" ht="120" customHeight="1" x14ac:dyDescent="0.3">
      <c r="A22" s="17">
        <v>3</v>
      </c>
      <c r="B22" s="17">
        <v>52</v>
      </c>
      <c r="C22" s="74">
        <v>238</v>
      </c>
      <c r="D22" s="207">
        <v>3</v>
      </c>
      <c r="E22" s="189" t="s">
        <v>19</v>
      </c>
      <c r="F22" s="189" t="s">
        <v>256</v>
      </c>
      <c r="G22" s="189">
        <v>1</v>
      </c>
      <c r="H22" s="190" t="s">
        <v>284</v>
      </c>
      <c r="I22" s="189">
        <v>1</v>
      </c>
      <c r="J22" s="189" t="s">
        <v>285</v>
      </c>
      <c r="K22" s="69" t="s">
        <v>134</v>
      </c>
      <c r="L22" s="66" t="s">
        <v>286</v>
      </c>
      <c r="M22" s="66">
        <v>3.8</v>
      </c>
      <c r="N22" s="84">
        <v>4.2</v>
      </c>
      <c r="O22" s="84" t="s">
        <v>259</v>
      </c>
      <c r="P22" s="66" t="s">
        <v>259</v>
      </c>
      <c r="Q22" s="66">
        <v>0</v>
      </c>
      <c r="R22" s="68" t="s">
        <v>135</v>
      </c>
      <c r="S22" s="98">
        <v>4</v>
      </c>
      <c r="T22" s="30"/>
      <c r="U22" s="30"/>
      <c r="V22" s="18" t="s">
        <v>259</v>
      </c>
      <c r="W22" s="19">
        <v>4.2</v>
      </c>
    </row>
    <row r="23" spans="1:23" s="20" customFormat="1" ht="120" customHeight="1" x14ac:dyDescent="0.3">
      <c r="A23" s="17">
        <v>3</v>
      </c>
      <c r="B23" s="17">
        <v>52</v>
      </c>
      <c r="C23" s="74">
        <v>239</v>
      </c>
      <c r="D23" s="207"/>
      <c r="E23" s="189"/>
      <c r="F23" s="189"/>
      <c r="G23" s="189"/>
      <c r="H23" s="190"/>
      <c r="I23" s="189"/>
      <c r="J23" s="189"/>
      <c r="K23" s="69" t="s">
        <v>287</v>
      </c>
      <c r="L23" s="66" t="s">
        <v>286</v>
      </c>
      <c r="M23" s="66">
        <v>4.2</v>
      </c>
      <c r="N23" s="84">
        <v>4.4000000000000004</v>
      </c>
      <c r="O23" s="84" t="s">
        <v>259</v>
      </c>
      <c r="P23" s="66" t="s">
        <v>259</v>
      </c>
      <c r="Q23" s="66">
        <v>0</v>
      </c>
      <c r="R23" s="68" t="s">
        <v>135</v>
      </c>
      <c r="S23" s="98">
        <v>4.3</v>
      </c>
      <c r="T23" s="30"/>
      <c r="U23" s="30"/>
      <c r="V23" s="18" t="s">
        <v>279</v>
      </c>
      <c r="W23" s="19">
        <v>4.4000000000000004</v>
      </c>
    </row>
    <row r="24" spans="1:23" s="20" customFormat="1" ht="120" customHeight="1" x14ac:dyDescent="0.3">
      <c r="A24" s="17">
        <v>3</v>
      </c>
      <c r="B24" s="17">
        <v>52</v>
      </c>
      <c r="C24" s="74">
        <v>240</v>
      </c>
      <c r="D24" s="207"/>
      <c r="E24" s="189"/>
      <c r="F24" s="189"/>
      <c r="G24" s="189"/>
      <c r="H24" s="190"/>
      <c r="I24" s="189"/>
      <c r="J24" s="189"/>
      <c r="K24" s="69" t="s">
        <v>21</v>
      </c>
      <c r="L24" s="66" t="s">
        <v>286</v>
      </c>
      <c r="M24" s="54">
        <v>1300</v>
      </c>
      <c r="N24" s="85">
        <v>7300</v>
      </c>
      <c r="O24" s="85">
        <f>+Q24-P24</f>
        <v>0</v>
      </c>
      <c r="P24" s="54">
        <v>2800</v>
      </c>
      <c r="Q24" s="54">
        <v>2800</v>
      </c>
      <c r="R24" s="68" t="s">
        <v>185</v>
      </c>
      <c r="S24" s="99">
        <v>4300</v>
      </c>
      <c r="T24" s="26"/>
      <c r="U24" s="26"/>
      <c r="V24" s="26">
        <v>5800</v>
      </c>
      <c r="W24" s="31">
        <v>7300</v>
      </c>
    </row>
    <row r="25" spans="1:23" s="20" customFormat="1" ht="120" customHeight="1" x14ac:dyDescent="0.3">
      <c r="A25" s="17">
        <v>3</v>
      </c>
      <c r="B25" s="17">
        <v>52</v>
      </c>
      <c r="C25" s="74">
        <v>241</v>
      </c>
      <c r="D25" s="207"/>
      <c r="E25" s="189"/>
      <c r="F25" s="189"/>
      <c r="G25" s="189"/>
      <c r="H25" s="190"/>
      <c r="I25" s="189"/>
      <c r="J25" s="189"/>
      <c r="K25" s="69" t="s">
        <v>288</v>
      </c>
      <c r="L25" s="66" t="s">
        <v>289</v>
      </c>
      <c r="M25" s="54">
        <v>970000</v>
      </c>
      <c r="N25" s="85">
        <v>3000000</v>
      </c>
      <c r="O25" s="85" t="s">
        <v>259</v>
      </c>
      <c r="P25" s="54">
        <v>750000</v>
      </c>
      <c r="Q25" s="54">
        <v>1700038</v>
      </c>
      <c r="R25" s="68" t="s">
        <v>162</v>
      </c>
      <c r="S25" s="99">
        <v>1500000</v>
      </c>
      <c r="T25" s="26"/>
      <c r="U25" s="26"/>
      <c r="V25" s="26">
        <v>2250000</v>
      </c>
      <c r="W25" s="31">
        <v>3000000</v>
      </c>
    </row>
    <row r="26" spans="1:23" s="20" customFormat="1" ht="120" customHeight="1" x14ac:dyDescent="0.3">
      <c r="A26" s="17">
        <v>3</v>
      </c>
      <c r="B26" s="17">
        <v>52</v>
      </c>
      <c r="C26" s="74">
        <v>242</v>
      </c>
      <c r="D26" s="207"/>
      <c r="E26" s="189"/>
      <c r="F26" s="189"/>
      <c r="G26" s="189"/>
      <c r="H26" s="190"/>
      <c r="I26" s="189"/>
      <c r="J26" s="189"/>
      <c r="K26" s="69" t="s">
        <v>290</v>
      </c>
      <c r="L26" s="66" t="s">
        <v>291</v>
      </c>
      <c r="M26" s="54" t="s">
        <v>259</v>
      </c>
      <c r="N26" s="85">
        <v>1100</v>
      </c>
      <c r="O26" s="85">
        <f>+Q26-P26</f>
        <v>0</v>
      </c>
      <c r="P26" s="54">
        <v>543</v>
      </c>
      <c r="Q26" s="54">
        <v>543</v>
      </c>
      <c r="R26" s="68" t="s">
        <v>137</v>
      </c>
      <c r="S26" s="99">
        <v>730</v>
      </c>
      <c r="T26" s="26"/>
      <c r="U26" s="26"/>
      <c r="V26" s="26">
        <v>915</v>
      </c>
      <c r="W26" s="31">
        <v>1100</v>
      </c>
    </row>
    <row r="27" spans="1:23" s="20" customFormat="1" ht="120" customHeight="1" x14ac:dyDescent="0.3">
      <c r="A27" s="17">
        <v>3</v>
      </c>
      <c r="B27" s="17">
        <v>53</v>
      </c>
      <c r="C27" s="74">
        <v>243</v>
      </c>
      <c r="D27" s="207"/>
      <c r="E27" s="189"/>
      <c r="F27" s="189"/>
      <c r="G27" s="189">
        <v>2</v>
      </c>
      <c r="H27" s="191" t="s">
        <v>23</v>
      </c>
      <c r="I27" s="189">
        <v>2</v>
      </c>
      <c r="J27" s="189" t="s">
        <v>292</v>
      </c>
      <c r="K27" s="69" t="s">
        <v>293</v>
      </c>
      <c r="L27" s="66" t="s">
        <v>294</v>
      </c>
      <c r="M27" s="54">
        <v>8</v>
      </c>
      <c r="N27" s="85">
        <v>32</v>
      </c>
      <c r="O27" s="85">
        <f>+Q27-P27</f>
        <v>0</v>
      </c>
      <c r="P27" s="54">
        <v>16</v>
      </c>
      <c r="Q27" s="54">
        <v>16</v>
      </c>
      <c r="R27" s="68" t="s">
        <v>175</v>
      </c>
      <c r="S27" s="99">
        <v>24</v>
      </c>
      <c r="T27" s="26"/>
      <c r="U27" s="26"/>
      <c r="V27" s="26">
        <v>29</v>
      </c>
      <c r="W27" s="31">
        <v>32</v>
      </c>
    </row>
    <row r="28" spans="1:23" s="20" customFormat="1" ht="120" customHeight="1" x14ac:dyDescent="0.3">
      <c r="A28" s="17">
        <v>3</v>
      </c>
      <c r="B28" s="17">
        <v>53</v>
      </c>
      <c r="C28" s="74">
        <v>244</v>
      </c>
      <c r="D28" s="207"/>
      <c r="E28" s="189"/>
      <c r="F28" s="189"/>
      <c r="G28" s="189"/>
      <c r="H28" s="191"/>
      <c r="I28" s="189"/>
      <c r="J28" s="189"/>
      <c r="K28" s="69" t="s">
        <v>24</v>
      </c>
      <c r="L28" s="66" t="s">
        <v>292</v>
      </c>
      <c r="M28" s="54">
        <v>2048</v>
      </c>
      <c r="N28" s="85">
        <v>11291</v>
      </c>
      <c r="O28" s="85" t="s">
        <v>259</v>
      </c>
      <c r="P28" s="54">
        <v>4251</v>
      </c>
      <c r="Q28" s="54">
        <v>4664</v>
      </c>
      <c r="R28" s="68" t="s">
        <v>212</v>
      </c>
      <c r="S28" s="99">
        <v>6571</v>
      </c>
      <c r="T28" s="26"/>
      <c r="U28" s="26"/>
      <c r="V28" s="26">
        <v>8931</v>
      </c>
      <c r="W28" s="31">
        <v>11291</v>
      </c>
    </row>
    <row r="29" spans="1:23" s="20" customFormat="1" ht="120" customHeight="1" x14ac:dyDescent="0.3">
      <c r="A29" s="17">
        <v>3</v>
      </c>
      <c r="B29" s="17">
        <v>53</v>
      </c>
      <c r="C29" s="74">
        <v>245</v>
      </c>
      <c r="D29" s="207"/>
      <c r="E29" s="189"/>
      <c r="F29" s="189"/>
      <c r="G29" s="189"/>
      <c r="H29" s="191"/>
      <c r="I29" s="189"/>
      <c r="J29" s="189"/>
      <c r="K29" s="69" t="s">
        <v>295</v>
      </c>
      <c r="L29" s="66" t="s">
        <v>292</v>
      </c>
      <c r="M29" s="54">
        <v>162140</v>
      </c>
      <c r="N29" s="85">
        <v>251000</v>
      </c>
      <c r="O29" s="85" t="s">
        <v>259</v>
      </c>
      <c r="P29" s="54">
        <v>201000</v>
      </c>
      <c r="Q29" s="54">
        <v>187566</v>
      </c>
      <c r="R29" s="68" t="s">
        <v>213</v>
      </c>
      <c r="S29" s="99">
        <v>211000</v>
      </c>
      <c r="T29" s="26"/>
      <c r="U29" s="26"/>
      <c r="V29" s="26">
        <v>231000</v>
      </c>
      <c r="W29" s="31">
        <v>251000</v>
      </c>
    </row>
    <row r="30" spans="1:23" s="20" customFormat="1" ht="120" customHeight="1" x14ac:dyDescent="0.3">
      <c r="A30" s="17">
        <v>3</v>
      </c>
      <c r="B30" s="17">
        <v>53</v>
      </c>
      <c r="C30" s="74">
        <v>246</v>
      </c>
      <c r="D30" s="207"/>
      <c r="E30" s="189"/>
      <c r="F30" s="189"/>
      <c r="G30" s="189"/>
      <c r="H30" s="191"/>
      <c r="I30" s="189"/>
      <c r="J30" s="189"/>
      <c r="K30" s="69" t="s">
        <v>296</v>
      </c>
      <c r="L30" s="66" t="s">
        <v>297</v>
      </c>
      <c r="M30" s="66">
        <v>217</v>
      </c>
      <c r="N30" s="84">
        <v>317</v>
      </c>
      <c r="O30" s="84">
        <f>+Q30-P30</f>
        <v>12</v>
      </c>
      <c r="P30" s="66">
        <v>4</v>
      </c>
      <c r="Q30" s="66">
        <v>16</v>
      </c>
      <c r="R30" s="68" t="s">
        <v>201</v>
      </c>
      <c r="S30" s="93">
        <v>144</v>
      </c>
      <c r="T30" s="18"/>
      <c r="U30" s="18"/>
      <c r="V30" s="18">
        <v>150</v>
      </c>
      <c r="W30" s="19">
        <v>317</v>
      </c>
    </row>
    <row r="31" spans="1:23" s="20" customFormat="1" ht="120" customHeight="1" x14ac:dyDescent="0.3">
      <c r="A31" s="17">
        <v>3</v>
      </c>
      <c r="B31" s="17">
        <v>53</v>
      </c>
      <c r="C31" s="74">
        <v>247</v>
      </c>
      <c r="D31" s="207"/>
      <c r="E31" s="189"/>
      <c r="F31" s="189"/>
      <c r="G31" s="189"/>
      <c r="H31" s="191"/>
      <c r="I31" s="189"/>
      <c r="J31" s="189"/>
      <c r="K31" s="69" t="s">
        <v>27</v>
      </c>
      <c r="L31" s="66" t="s">
        <v>298</v>
      </c>
      <c r="M31" s="66" t="s">
        <v>279</v>
      </c>
      <c r="N31" s="84">
        <v>40</v>
      </c>
      <c r="O31" s="84">
        <f>+Q31-P31</f>
        <v>0</v>
      </c>
      <c r="P31" s="66">
        <v>10</v>
      </c>
      <c r="Q31" s="66">
        <v>10</v>
      </c>
      <c r="R31" s="68" t="s">
        <v>159</v>
      </c>
      <c r="S31" s="93">
        <v>20</v>
      </c>
      <c r="T31" s="18"/>
      <c r="U31" s="18"/>
      <c r="V31" s="18">
        <v>30</v>
      </c>
      <c r="W31" s="19">
        <v>40</v>
      </c>
    </row>
    <row r="32" spans="1:23" s="20" customFormat="1" ht="120" customHeight="1" x14ac:dyDescent="0.3">
      <c r="A32" s="17">
        <v>3</v>
      </c>
      <c r="B32" s="17">
        <v>53</v>
      </c>
      <c r="C32" s="74">
        <v>307</v>
      </c>
      <c r="D32" s="207"/>
      <c r="E32" s="189"/>
      <c r="F32" s="189"/>
      <c r="G32" s="189"/>
      <c r="H32" s="191"/>
      <c r="I32" s="189"/>
      <c r="J32" s="189"/>
      <c r="K32" s="69" t="s">
        <v>299</v>
      </c>
      <c r="L32" s="66" t="s">
        <v>278</v>
      </c>
      <c r="M32" s="66" t="s">
        <v>279</v>
      </c>
      <c r="N32" s="84">
        <v>1</v>
      </c>
      <c r="O32" s="84">
        <f>+Q32-P32</f>
        <v>0</v>
      </c>
      <c r="P32" s="66">
        <v>1</v>
      </c>
      <c r="Q32" s="66">
        <v>1</v>
      </c>
      <c r="R32" s="68" t="s">
        <v>220</v>
      </c>
      <c r="S32" s="93">
        <v>1</v>
      </c>
      <c r="T32" s="18"/>
      <c r="U32" s="18"/>
      <c r="V32" s="18">
        <v>1</v>
      </c>
      <c r="W32" s="19">
        <v>1</v>
      </c>
    </row>
    <row r="33" spans="1:23" s="20" customFormat="1" ht="120" customHeight="1" x14ac:dyDescent="0.3">
      <c r="A33" s="17">
        <v>3</v>
      </c>
      <c r="B33" s="17">
        <v>54</v>
      </c>
      <c r="C33" s="74">
        <v>248</v>
      </c>
      <c r="D33" s="207"/>
      <c r="E33" s="189"/>
      <c r="F33" s="189"/>
      <c r="G33" s="66">
        <v>3</v>
      </c>
      <c r="H33" s="69" t="s">
        <v>29</v>
      </c>
      <c r="I33" s="66">
        <v>3</v>
      </c>
      <c r="J33" s="66" t="s">
        <v>300</v>
      </c>
      <c r="K33" s="69" t="s">
        <v>30</v>
      </c>
      <c r="L33" s="66" t="s">
        <v>301</v>
      </c>
      <c r="M33" s="54">
        <v>1100000</v>
      </c>
      <c r="N33" s="85">
        <v>4400000</v>
      </c>
      <c r="O33" s="85" t="s">
        <v>259</v>
      </c>
      <c r="P33" s="54">
        <v>2000000</v>
      </c>
      <c r="Q33" s="54">
        <v>2211031</v>
      </c>
      <c r="R33" s="68" t="s">
        <v>202</v>
      </c>
      <c r="S33" s="99">
        <v>2700000</v>
      </c>
      <c r="T33" s="26"/>
      <c r="U33" s="26"/>
      <c r="V33" s="26">
        <v>3400000</v>
      </c>
      <c r="W33" s="31">
        <v>4400000</v>
      </c>
    </row>
    <row r="34" spans="1:23" s="20" customFormat="1" ht="120" customHeight="1" x14ac:dyDescent="0.3">
      <c r="A34" s="17">
        <v>3</v>
      </c>
      <c r="B34" s="17">
        <v>55</v>
      </c>
      <c r="C34" s="74">
        <v>249</v>
      </c>
      <c r="D34" s="207"/>
      <c r="E34" s="189"/>
      <c r="F34" s="189"/>
      <c r="G34" s="189">
        <v>4</v>
      </c>
      <c r="H34" s="190" t="s">
        <v>31</v>
      </c>
      <c r="I34" s="189">
        <v>4</v>
      </c>
      <c r="J34" s="189" t="s">
        <v>302</v>
      </c>
      <c r="K34" s="69" t="s">
        <v>132</v>
      </c>
      <c r="L34" s="66" t="s">
        <v>298</v>
      </c>
      <c r="M34" s="54" t="s">
        <v>259</v>
      </c>
      <c r="N34" s="85">
        <v>1000</v>
      </c>
      <c r="O34" s="85">
        <f t="shared" ref="O34:O40" si="0">+Q34-P34</f>
        <v>6</v>
      </c>
      <c r="P34" s="66">
        <v>250</v>
      </c>
      <c r="Q34" s="66">
        <v>256</v>
      </c>
      <c r="R34" s="68" t="s">
        <v>176</v>
      </c>
      <c r="S34" s="93">
        <v>500</v>
      </c>
      <c r="T34" s="18"/>
      <c r="U34" s="18"/>
      <c r="V34" s="18">
        <v>750</v>
      </c>
      <c r="W34" s="19">
        <v>1000</v>
      </c>
    </row>
    <row r="35" spans="1:23" s="20" customFormat="1" ht="120" customHeight="1" x14ac:dyDescent="0.3">
      <c r="A35" s="17">
        <v>3</v>
      </c>
      <c r="B35" s="17">
        <v>55</v>
      </c>
      <c r="C35" s="74">
        <v>250</v>
      </c>
      <c r="D35" s="207"/>
      <c r="E35" s="189"/>
      <c r="F35" s="189"/>
      <c r="G35" s="189"/>
      <c r="H35" s="190"/>
      <c r="I35" s="189"/>
      <c r="J35" s="189"/>
      <c r="K35" s="69" t="s">
        <v>303</v>
      </c>
      <c r="L35" s="66" t="s">
        <v>32</v>
      </c>
      <c r="M35" s="54">
        <v>40</v>
      </c>
      <c r="N35" s="85">
        <v>200</v>
      </c>
      <c r="O35" s="85">
        <f t="shared" si="0"/>
        <v>24</v>
      </c>
      <c r="P35" s="54">
        <v>80</v>
      </c>
      <c r="Q35" s="54">
        <v>104</v>
      </c>
      <c r="R35" s="68" t="s">
        <v>232</v>
      </c>
      <c r="S35" s="99">
        <v>120</v>
      </c>
      <c r="T35" s="26"/>
      <c r="U35" s="26"/>
      <c r="V35" s="26">
        <v>160</v>
      </c>
      <c r="W35" s="31">
        <v>200</v>
      </c>
    </row>
    <row r="36" spans="1:23" s="20" customFormat="1" ht="120" customHeight="1" x14ac:dyDescent="0.3">
      <c r="A36" s="17">
        <v>3</v>
      </c>
      <c r="B36" s="17">
        <v>55</v>
      </c>
      <c r="C36" s="74">
        <v>251</v>
      </c>
      <c r="D36" s="207"/>
      <c r="E36" s="189"/>
      <c r="F36" s="189"/>
      <c r="G36" s="189"/>
      <c r="H36" s="190"/>
      <c r="I36" s="189"/>
      <c r="J36" s="189"/>
      <c r="K36" s="69" t="s">
        <v>304</v>
      </c>
      <c r="L36" s="66" t="s">
        <v>305</v>
      </c>
      <c r="M36" s="54">
        <v>130</v>
      </c>
      <c r="N36" s="85">
        <v>530</v>
      </c>
      <c r="O36" s="85">
        <f t="shared" si="0"/>
        <v>33</v>
      </c>
      <c r="P36" s="66">
        <v>230</v>
      </c>
      <c r="Q36" s="66">
        <v>263</v>
      </c>
      <c r="R36" s="68" t="s">
        <v>225</v>
      </c>
      <c r="S36" s="93">
        <v>330</v>
      </c>
      <c r="T36" s="18"/>
      <c r="U36" s="18"/>
      <c r="V36" s="18">
        <v>430</v>
      </c>
      <c r="W36" s="19">
        <v>530</v>
      </c>
    </row>
    <row r="37" spans="1:23" s="20" customFormat="1" ht="120" customHeight="1" x14ac:dyDescent="0.3">
      <c r="A37" s="17">
        <v>4</v>
      </c>
      <c r="B37" s="17">
        <v>56</v>
      </c>
      <c r="C37" s="74">
        <v>252</v>
      </c>
      <c r="D37" s="207">
        <v>4</v>
      </c>
      <c r="E37" s="189" t="s">
        <v>34</v>
      </c>
      <c r="F37" s="189" t="s">
        <v>256</v>
      </c>
      <c r="G37" s="66">
        <v>1</v>
      </c>
      <c r="H37" s="66" t="s">
        <v>306</v>
      </c>
      <c r="I37" s="66">
        <v>1</v>
      </c>
      <c r="J37" s="66" t="s">
        <v>281</v>
      </c>
      <c r="K37" s="69" t="s">
        <v>35</v>
      </c>
      <c r="L37" s="66" t="s">
        <v>307</v>
      </c>
      <c r="M37" s="66" t="s">
        <v>279</v>
      </c>
      <c r="N37" s="84">
        <v>3</v>
      </c>
      <c r="O37" s="84">
        <f t="shared" si="0"/>
        <v>-1</v>
      </c>
      <c r="P37" s="66">
        <v>3</v>
      </c>
      <c r="Q37" s="66">
        <v>2</v>
      </c>
      <c r="R37" s="68" t="s">
        <v>234</v>
      </c>
      <c r="S37" s="93">
        <v>0</v>
      </c>
      <c r="T37" s="18"/>
      <c r="U37" s="18"/>
      <c r="V37" s="18">
        <v>0</v>
      </c>
      <c r="W37" s="19">
        <v>0</v>
      </c>
    </row>
    <row r="38" spans="1:23" s="20" customFormat="1" ht="120" customHeight="1" x14ac:dyDescent="0.3">
      <c r="A38" s="17">
        <v>4</v>
      </c>
      <c r="B38" s="17">
        <v>57</v>
      </c>
      <c r="C38" s="74">
        <v>253</v>
      </c>
      <c r="D38" s="207"/>
      <c r="E38" s="189"/>
      <c r="F38" s="189"/>
      <c r="G38" s="189">
        <v>2</v>
      </c>
      <c r="H38" s="190" t="s">
        <v>308</v>
      </c>
      <c r="I38" s="189">
        <v>2</v>
      </c>
      <c r="J38" s="66" t="s">
        <v>309</v>
      </c>
      <c r="K38" s="69" t="s">
        <v>37</v>
      </c>
      <c r="L38" s="66" t="s">
        <v>310</v>
      </c>
      <c r="M38" s="66" t="s">
        <v>260</v>
      </c>
      <c r="N38" s="86">
        <v>40000000000</v>
      </c>
      <c r="O38" s="86">
        <f t="shared" si="0"/>
        <v>1359904293</v>
      </c>
      <c r="P38" s="56">
        <v>10000000000</v>
      </c>
      <c r="Q38" s="56">
        <v>11359904293</v>
      </c>
      <c r="R38" s="68" t="s">
        <v>160</v>
      </c>
      <c r="S38" s="100">
        <v>20000000000</v>
      </c>
      <c r="T38" s="32"/>
      <c r="U38" s="32"/>
      <c r="V38" s="32">
        <v>30000000000</v>
      </c>
      <c r="W38" s="33">
        <v>40000000000</v>
      </c>
    </row>
    <row r="39" spans="1:23" s="20" customFormat="1" ht="120" customHeight="1" x14ac:dyDescent="0.3">
      <c r="A39" s="17">
        <v>4</v>
      </c>
      <c r="B39" s="17">
        <v>57</v>
      </c>
      <c r="C39" s="74">
        <v>254</v>
      </c>
      <c r="D39" s="207"/>
      <c r="E39" s="189"/>
      <c r="F39" s="189"/>
      <c r="G39" s="189"/>
      <c r="H39" s="190"/>
      <c r="I39" s="189"/>
      <c r="J39" s="66" t="s">
        <v>311</v>
      </c>
      <c r="K39" s="69" t="s">
        <v>312</v>
      </c>
      <c r="L39" s="66" t="s">
        <v>311</v>
      </c>
      <c r="M39" s="66">
        <v>20</v>
      </c>
      <c r="N39" s="84">
        <v>200</v>
      </c>
      <c r="O39" s="84">
        <f t="shared" si="0"/>
        <v>16</v>
      </c>
      <c r="P39" s="56">
        <v>70</v>
      </c>
      <c r="Q39" s="56">
        <v>86</v>
      </c>
      <c r="R39" s="68" t="s">
        <v>231</v>
      </c>
      <c r="S39" s="100">
        <v>100</v>
      </c>
      <c r="T39" s="32"/>
      <c r="U39" s="32"/>
      <c r="V39" s="32">
        <v>150</v>
      </c>
      <c r="W39" s="33">
        <v>200</v>
      </c>
    </row>
    <row r="40" spans="1:23" s="20" customFormat="1" ht="120" customHeight="1" x14ac:dyDescent="0.3">
      <c r="A40" s="17">
        <v>5</v>
      </c>
      <c r="B40" s="17">
        <v>58</v>
      </c>
      <c r="C40" s="74">
        <v>255</v>
      </c>
      <c r="D40" s="207">
        <v>5</v>
      </c>
      <c r="E40" s="189" t="s">
        <v>38</v>
      </c>
      <c r="F40" s="189" t="s">
        <v>256</v>
      </c>
      <c r="G40" s="189">
        <v>1</v>
      </c>
      <c r="H40" s="190" t="s">
        <v>39</v>
      </c>
      <c r="I40" s="189">
        <v>1</v>
      </c>
      <c r="J40" s="189" t="s">
        <v>313</v>
      </c>
      <c r="K40" s="69" t="s">
        <v>314</v>
      </c>
      <c r="L40" s="66" t="s">
        <v>313</v>
      </c>
      <c r="M40" s="66">
        <v>59</v>
      </c>
      <c r="N40" s="84">
        <v>133</v>
      </c>
      <c r="O40" s="84">
        <f t="shared" si="0"/>
        <v>0</v>
      </c>
      <c r="P40" s="66">
        <v>81</v>
      </c>
      <c r="Q40" s="66">
        <v>81</v>
      </c>
      <c r="R40" s="68" t="s">
        <v>210</v>
      </c>
      <c r="S40" s="93">
        <v>98</v>
      </c>
      <c r="T40" s="18"/>
      <c r="U40" s="18"/>
      <c r="V40" s="18">
        <v>115</v>
      </c>
      <c r="W40" s="19">
        <v>133</v>
      </c>
    </row>
    <row r="41" spans="1:23" s="20" customFormat="1" ht="120" customHeight="1" x14ac:dyDescent="0.3">
      <c r="A41" s="17">
        <v>5</v>
      </c>
      <c r="B41" s="17">
        <v>58</v>
      </c>
      <c r="C41" s="74">
        <v>256</v>
      </c>
      <c r="D41" s="207"/>
      <c r="E41" s="189"/>
      <c r="F41" s="189"/>
      <c r="G41" s="189"/>
      <c r="H41" s="190"/>
      <c r="I41" s="189"/>
      <c r="J41" s="189"/>
      <c r="K41" s="69" t="s">
        <v>315</v>
      </c>
      <c r="L41" s="66" t="s">
        <v>316</v>
      </c>
      <c r="M41" s="66" t="s">
        <v>259</v>
      </c>
      <c r="N41" s="84">
        <v>1</v>
      </c>
      <c r="O41" s="82" t="s">
        <v>260</v>
      </c>
      <c r="P41" s="66" t="s">
        <v>260</v>
      </c>
      <c r="Q41" s="66" t="s">
        <v>260</v>
      </c>
      <c r="R41" s="68" t="s">
        <v>226</v>
      </c>
      <c r="S41" s="93" t="s">
        <v>260</v>
      </c>
      <c r="T41" s="18"/>
      <c r="U41" s="18"/>
      <c r="V41" s="18" t="s">
        <v>260</v>
      </c>
      <c r="W41" s="19">
        <v>1</v>
      </c>
    </row>
    <row r="42" spans="1:23" s="20" customFormat="1" ht="120" customHeight="1" x14ac:dyDescent="0.3">
      <c r="A42" s="17">
        <v>5</v>
      </c>
      <c r="B42" s="17">
        <v>58</v>
      </c>
      <c r="C42" s="74">
        <v>257</v>
      </c>
      <c r="D42" s="207"/>
      <c r="E42" s="189"/>
      <c r="F42" s="189"/>
      <c r="G42" s="189"/>
      <c r="H42" s="190"/>
      <c r="I42" s="189"/>
      <c r="J42" s="189"/>
      <c r="K42" s="69" t="s">
        <v>40</v>
      </c>
      <c r="L42" s="66" t="s">
        <v>316</v>
      </c>
      <c r="M42" s="66" t="s">
        <v>317</v>
      </c>
      <c r="N42" s="84">
        <v>328</v>
      </c>
      <c r="O42" s="84">
        <f>+Q42-P42</f>
        <v>0</v>
      </c>
      <c r="P42" s="66">
        <v>82</v>
      </c>
      <c r="Q42" s="66">
        <v>82</v>
      </c>
      <c r="R42" s="68" t="s">
        <v>227</v>
      </c>
      <c r="S42" s="93">
        <v>164</v>
      </c>
      <c r="T42" s="18"/>
      <c r="U42" s="18"/>
      <c r="V42" s="18">
        <v>246</v>
      </c>
      <c r="W42" s="19">
        <v>328</v>
      </c>
    </row>
    <row r="43" spans="1:23" s="20" customFormat="1" ht="120" customHeight="1" x14ac:dyDescent="0.3">
      <c r="A43" s="17">
        <v>5</v>
      </c>
      <c r="B43" s="17">
        <v>60</v>
      </c>
      <c r="C43" s="74">
        <v>259</v>
      </c>
      <c r="D43" s="207"/>
      <c r="E43" s="189"/>
      <c r="F43" s="189"/>
      <c r="G43" s="189">
        <v>2</v>
      </c>
      <c r="H43" s="191" t="s">
        <v>318</v>
      </c>
      <c r="I43" s="189">
        <v>2</v>
      </c>
      <c r="J43" s="189" t="s">
        <v>319</v>
      </c>
      <c r="K43" s="69" t="s">
        <v>42</v>
      </c>
      <c r="L43" s="66" t="s">
        <v>320</v>
      </c>
      <c r="M43" s="66" t="s">
        <v>260</v>
      </c>
      <c r="N43" s="84">
        <v>4</v>
      </c>
      <c r="O43" s="84">
        <f>+Q43-P43</f>
        <v>0</v>
      </c>
      <c r="P43" s="66">
        <v>1</v>
      </c>
      <c r="Q43" s="66">
        <v>1</v>
      </c>
      <c r="R43" s="68" t="s">
        <v>214</v>
      </c>
      <c r="S43" s="93">
        <v>2</v>
      </c>
      <c r="T43" s="18"/>
      <c r="U43" s="18"/>
      <c r="V43" s="18">
        <v>3</v>
      </c>
      <c r="W43" s="19">
        <v>4</v>
      </c>
    </row>
    <row r="44" spans="1:23" s="20" customFormat="1" ht="120" customHeight="1" x14ac:dyDescent="0.3">
      <c r="A44" s="17">
        <v>5</v>
      </c>
      <c r="B44" s="17">
        <v>60</v>
      </c>
      <c r="C44" s="74">
        <v>290</v>
      </c>
      <c r="D44" s="207"/>
      <c r="E44" s="189"/>
      <c r="F44" s="189"/>
      <c r="G44" s="189"/>
      <c r="H44" s="191"/>
      <c r="I44" s="189"/>
      <c r="J44" s="189"/>
      <c r="K44" s="69" t="s">
        <v>321</v>
      </c>
      <c r="L44" s="66" t="s">
        <v>278</v>
      </c>
      <c r="M44" s="66" t="s">
        <v>279</v>
      </c>
      <c r="N44" s="84" t="s">
        <v>322</v>
      </c>
      <c r="O44" s="84" t="s">
        <v>259</v>
      </c>
      <c r="P44" s="66" t="s">
        <v>322</v>
      </c>
      <c r="Q44" s="66">
        <v>10</v>
      </c>
      <c r="R44" s="68" t="s">
        <v>221</v>
      </c>
      <c r="S44" s="93" t="s">
        <v>322</v>
      </c>
      <c r="T44" s="18"/>
      <c r="U44" s="18"/>
      <c r="V44" s="18" t="s">
        <v>322</v>
      </c>
      <c r="W44" s="19" t="s">
        <v>322</v>
      </c>
    </row>
    <row r="45" spans="1:23" s="20" customFormat="1" ht="120" customHeight="1" x14ac:dyDescent="0.3">
      <c r="A45" s="17">
        <v>5</v>
      </c>
      <c r="B45" s="17">
        <v>60</v>
      </c>
      <c r="C45" s="74">
        <v>309</v>
      </c>
      <c r="D45" s="207"/>
      <c r="E45" s="189"/>
      <c r="F45" s="189"/>
      <c r="G45" s="189"/>
      <c r="H45" s="191"/>
      <c r="I45" s="189"/>
      <c r="J45" s="189"/>
      <c r="K45" s="69" t="s">
        <v>90</v>
      </c>
      <c r="L45" s="66" t="s">
        <v>292</v>
      </c>
      <c r="M45" s="54">
        <v>300</v>
      </c>
      <c r="N45" s="85">
        <v>417</v>
      </c>
      <c r="O45" s="85">
        <f t="shared" ref="O45:O50" si="1">+Q45-P45</f>
        <v>0</v>
      </c>
      <c r="P45" s="66">
        <v>100</v>
      </c>
      <c r="Q45" s="66">
        <v>100</v>
      </c>
      <c r="R45" s="68" t="s">
        <v>139</v>
      </c>
      <c r="S45" s="93">
        <v>107</v>
      </c>
      <c r="T45" s="18"/>
      <c r="U45" s="18"/>
      <c r="V45" s="18">
        <v>317</v>
      </c>
      <c r="W45" s="19">
        <v>417</v>
      </c>
    </row>
    <row r="46" spans="1:23" s="20" customFormat="1" ht="120" customHeight="1" x14ac:dyDescent="0.3">
      <c r="A46" s="17">
        <v>6</v>
      </c>
      <c r="B46" s="17">
        <v>61</v>
      </c>
      <c r="C46" s="74">
        <v>260</v>
      </c>
      <c r="D46" s="207">
        <v>6</v>
      </c>
      <c r="E46" s="189" t="s">
        <v>323</v>
      </c>
      <c r="F46" s="189" t="s">
        <v>294</v>
      </c>
      <c r="G46" s="189">
        <v>1</v>
      </c>
      <c r="H46" s="190" t="s">
        <v>44</v>
      </c>
      <c r="I46" s="189">
        <v>1</v>
      </c>
      <c r="J46" s="189" t="s">
        <v>294</v>
      </c>
      <c r="K46" s="69" t="s">
        <v>45</v>
      </c>
      <c r="L46" s="189" t="s">
        <v>294</v>
      </c>
      <c r="M46" s="66">
        <v>10</v>
      </c>
      <c r="N46" s="84">
        <v>14</v>
      </c>
      <c r="O46" s="84">
        <f t="shared" si="1"/>
        <v>0</v>
      </c>
      <c r="P46" s="66">
        <v>11</v>
      </c>
      <c r="Q46" s="66">
        <v>11</v>
      </c>
      <c r="R46" s="68" t="s">
        <v>166</v>
      </c>
      <c r="S46" s="93">
        <v>12</v>
      </c>
      <c r="T46" s="18"/>
      <c r="U46" s="18"/>
      <c r="V46" s="18">
        <v>13</v>
      </c>
      <c r="W46" s="19">
        <v>14</v>
      </c>
    </row>
    <row r="47" spans="1:23" s="20" customFormat="1" ht="120" customHeight="1" x14ac:dyDescent="0.3">
      <c r="A47" s="17">
        <v>6</v>
      </c>
      <c r="B47" s="17">
        <v>61</v>
      </c>
      <c r="C47" s="74">
        <v>261</v>
      </c>
      <c r="D47" s="207"/>
      <c r="E47" s="189"/>
      <c r="F47" s="189"/>
      <c r="G47" s="189"/>
      <c r="H47" s="190"/>
      <c r="I47" s="189"/>
      <c r="J47" s="189"/>
      <c r="K47" s="69" t="s">
        <v>46</v>
      </c>
      <c r="L47" s="189"/>
      <c r="M47" s="66" t="s">
        <v>259</v>
      </c>
      <c r="N47" s="84">
        <v>200</v>
      </c>
      <c r="O47" s="84">
        <f t="shared" si="1"/>
        <v>0</v>
      </c>
      <c r="P47" s="66">
        <v>21</v>
      </c>
      <c r="Q47" s="66">
        <v>21</v>
      </c>
      <c r="R47" s="68" t="s">
        <v>177</v>
      </c>
      <c r="S47" s="93">
        <v>86</v>
      </c>
      <c r="T47" s="18"/>
      <c r="U47" s="18"/>
      <c r="V47" s="18">
        <v>151</v>
      </c>
      <c r="W47" s="19">
        <v>200</v>
      </c>
    </row>
    <row r="48" spans="1:23" s="20" customFormat="1" ht="120" customHeight="1" x14ac:dyDescent="0.3">
      <c r="A48" s="17">
        <v>6</v>
      </c>
      <c r="B48" s="17">
        <v>62</v>
      </c>
      <c r="C48" s="74">
        <v>262</v>
      </c>
      <c r="D48" s="207"/>
      <c r="E48" s="189"/>
      <c r="F48" s="189"/>
      <c r="G48" s="189">
        <v>2</v>
      </c>
      <c r="H48" s="190" t="s">
        <v>47</v>
      </c>
      <c r="I48" s="189">
        <v>2</v>
      </c>
      <c r="J48" s="189" t="s">
        <v>324</v>
      </c>
      <c r="K48" s="69" t="s">
        <v>325</v>
      </c>
      <c r="L48" s="189" t="s">
        <v>294</v>
      </c>
      <c r="M48" s="66">
        <v>5</v>
      </c>
      <c r="N48" s="84">
        <v>8</v>
      </c>
      <c r="O48" s="84">
        <f t="shared" si="1"/>
        <v>0</v>
      </c>
      <c r="P48" s="66">
        <v>6</v>
      </c>
      <c r="Q48" s="66">
        <v>6</v>
      </c>
      <c r="R48" s="68" t="s">
        <v>163</v>
      </c>
      <c r="S48" s="93">
        <v>6</v>
      </c>
      <c r="T48" s="18"/>
      <c r="U48" s="18"/>
      <c r="V48" s="18">
        <v>7</v>
      </c>
      <c r="W48" s="19">
        <v>8</v>
      </c>
    </row>
    <row r="49" spans="1:23" s="20" customFormat="1" ht="120" customHeight="1" x14ac:dyDescent="0.3">
      <c r="A49" s="17">
        <v>6</v>
      </c>
      <c r="B49" s="17">
        <v>62</v>
      </c>
      <c r="C49" s="74">
        <v>263</v>
      </c>
      <c r="D49" s="207"/>
      <c r="E49" s="189"/>
      <c r="F49" s="189"/>
      <c r="G49" s="189"/>
      <c r="H49" s="190"/>
      <c r="I49" s="189"/>
      <c r="J49" s="189"/>
      <c r="K49" s="69" t="s">
        <v>48</v>
      </c>
      <c r="L49" s="189"/>
      <c r="M49" s="66">
        <v>1141</v>
      </c>
      <c r="N49" s="84">
        <v>1161</v>
      </c>
      <c r="O49" s="84">
        <f t="shared" si="1"/>
        <v>0</v>
      </c>
      <c r="P49" s="66">
        <v>1145</v>
      </c>
      <c r="Q49" s="66">
        <v>1145</v>
      </c>
      <c r="R49" s="68" t="s">
        <v>164</v>
      </c>
      <c r="S49" s="93">
        <v>1152</v>
      </c>
      <c r="T49" s="18"/>
      <c r="U49" s="18"/>
      <c r="V49" s="18">
        <v>1159</v>
      </c>
      <c r="W49" s="19">
        <v>1161</v>
      </c>
    </row>
    <row r="50" spans="1:23" s="20" customFormat="1" ht="120" customHeight="1" x14ac:dyDescent="0.3">
      <c r="A50" s="17">
        <v>6</v>
      </c>
      <c r="B50" s="17">
        <v>62</v>
      </c>
      <c r="C50" s="74">
        <v>264</v>
      </c>
      <c r="D50" s="207"/>
      <c r="E50" s="189"/>
      <c r="F50" s="189"/>
      <c r="G50" s="189"/>
      <c r="H50" s="190"/>
      <c r="I50" s="189"/>
      <c r="J50" s="189"/>
      <c r="K50" s="69" t="s">
        <v>326</v>
      </c>
      <c r="L50" s="66" t="s">
        <v>289</v>
      </c>
      <c r="M50" s="66">
        <v>2</v>
      </c>
      <c r="N50" s="84">
        <v>4</v>
      </c>
      <c r="O50" s="84">
        <f t="shared" si="1"/>
        <v>0</v>
      </c>
      <c r="P50" s="66">
        <v>2</v>
      </c>
      <c r="Q50" s="66">
        <v>2</v>
      </c>
      <c r="R50" s="68" t="s">
        <v>215</v>
      </c>
      <c r="S50" s="93">
        <v>2</v>
      </c>
      <c r="T50" s="18"/>
      <c r="U50" s="18"/>
      <c r="V50" s="18">
        <v>3</v>
      </c>
      <c r="W50" s="19">
        <v>4</v>
      </c>
    </row>
    <row r="51" spans="1:23" s="20" customFormat="1" ht="120" customHeight="1" x14ac:dyDescent="0.3">
      <c r="A51" s="17">
        <v>6</v>
      </c>
      <c r="B51" s="17">
        <v>67</v>
      </c>
      <c r="C51" s="74">
        <v>297</v>
      </c>
      <c r="D51" s="207"/>
      <c r="E51" s="189"/>
      <c r="F51" s="189"/>
      <c r="G51" s="211">
        <v>3</v>
      </c>
      <c r="H51" s="190" t="s">
        <v>96</v>
      </c>
      <c r="I51" s="211">
        <v>3</v>
      </c>
      <c r="J51" s="189" t="s">
        <v>278</v>
      </c>
      <c r="K51" s="69" t="s">
        <v>327</v>
      </c>
      <c r="L51" s="66" t="s">
        <v>278</v>
      </c>
      <c r="M51" s="66" t="s">
        <v>279</v>
      </c>
      <c r="N51" s="81">
        <v>1</v>
      </c>
      <c r="O51" s="81" t="s">
        <v>259</v>
      </c>
      <c r="P51" s="49">
        <v>1</v>
      </c>
      <c r="Q51" s="49">
        <v>1</v>
      </c>
      <c r="R51" s="68" t="s">
        <v>233</v>
      </c>
      <c r="S51" s="97">
        <v>1</v>
      </c>
      <c r="T51" s="21"/>
      <c r="U51" s="21"/>
      <c r="V51" s="21">
        <v>1</v>
      </c>
      <c r="W51" s="29">
        <v>1</v>
      </c>
    </row>
    <row r="52" spans="1:23" s="20" customFormat="1" ht="120" customHeight="1" x14ac:dyDescent="0.3">
      <c r="A52" s="17">
        <v>6</v>
      </c>
      <c r="B52" s="17">
        <v>67</v>
      </c>
      <c r="C52" s="74">
        <v>310</v>
      </c>
      <c r="D52" s="207"/>
      <c r="E52" s="189"/>
      <c r="F52" s="189"/>
      <c r="G52" s="211"/>
      <c r="H52" s="190"/>
      <c r="I52" s="211"/>
      <c r="J52" s="189"/>
      <c r="K52" s="69" t="s">
        <v>328</v>
      </c>
      <c r="L52" s="66" t="s">
        <v>329</v>
      </c>
      <c r="M52" s="66" t="s">
        <v>260</v>
      </c>
      <c r="N52" s="85">
        <v>3200000</v>
      </c>
      <c r="O52" s="85">
        <f>+Q52-P52</f>
        <v>0</v>
      </c>
      <c r="P52" s="54">
        <v>800000</v>
      </c>
      <c r="Q52" s="54">
        <v>800000</v>
      </c>
      <c r="R52" s="68" t="s">
        <v>165</v>
      </c>
      <c r="S52" s="99">
        <v>800000</v>
      </c>
      <c r="T52" s="26"/>
      <c r="U52" s="26"/>
      <c r="V52" s="26">
        <v>800000</v>
      </c>
      <c r="W52" s="31">
        <v>800000</v>
      </c>
    </row>
    <row r="53" spans="1:23" s="20" customFormat="1" ht="120" customHeight="1" x14ac:dyDescent="0.3">
      <c r="A53" s="17">
        <v>6</v>
      </c>
      <c r="B53" s="17">
        <v>63</v>
      </c>
      <c r="C53" s="74">
        <v>265</v>
      </c>
      <c r="D53" s="207"/>
      <c r="E53" s="189"/>
      <c r="F53" s="189"/>
      <c r="G53" s="189">
        <v>4</v>
      </c>
      <c r="H53" s="190" t="s">
        <v>91</v>
      </c>
      <c r="I53" s="189">
        <v>4</v>
      </c>
      <c r="J53" s="189" t="s">
        <v>294</v>
      </c>
      <c r="K53" s="69" t="s">
        <v>330</v>
      </c>
      <c r="L53" s="66" t="s">
        <v>294</v>
      </c>
      <c r="M53" s="66">
        <v>53</v>
      </c>
      <c r="N53" s="84">
        <v>65</v>
      </c>
      <c r="O53" s="84">
        <f>+Q53-P53</f>
        <v>0</v>
      </c>
      <c r="P53" s="66">
        <v>55</v>
      </c>
      <c r="Q53" s="66">
        <v>55</v>
      </c>
      <c r="R53" s="68" t="s">
        <v>178</v>
      </c>
      <c r="S53" s="93">
        <v>58</v>
      </c>
      <c r="T53" s="18"/>
      <c r="U53" s="18"/>
      <c r="V53" s="18">
        <v>62</v>
      </c>
      <c r="W53" s="19">
        <v>65</v>
      </c>
    </row>
    <row r="54" spans="1:23" s="20" customFormat="1" ht="120" customHeight="1" x14ac:dyDescent="0.3">
      <c r="A54" s="17">
        <v>6</v>
      </c>
      <c r="B54" s="17">
        <v>63</v>
      </c>
      <c r="C54" s="74">
        <v>266</v>
      </c>
      <c r="D54" s="207"/>
      <c r="E54" s="189"/>
      <c r="F54" s="189"/>
      <c r="G54" s="189"/>
      <c r="H54" s="190"/>
      <c r="I54" s="189"/>
      <c r="J54" s="189"/>
      <c r="K54" s="69" t="s">
        <v>331</v>
      </c>
      <c r="L54" s="66" t="s">
        <v>294</v>
      </c>
      <c r="M54" s="66">
        <v>61</v>
      </c>
      <c r="N54" s="84">
        <v>73</v>
      </c>
      <c r="O54" s="84">
        <f>+Q54-P54</f>
        <v>0</v>
      </c>
      <c r="P54" s="66">
        <v>67</v>
      </c>
      <c r="Q54" s="66">
        <v>67</v>
      </c>
      <c r="R54" s="68" t="s">
        <v>179</v>
      </c>
      <c r="S54" s="93">
        <v>70</v>
      </c>
      <c r="T54" s="18"/>
      <c r="U54" s="18"/>
      <c r="V54" s="18">
        <v>71</v>
      </c>
      <c r="W54" s="19">
        <v>73</v>
      </c>
    </row>
    <row r="55" spans="1:23" s="20" customFormat="1" ht="120" customHeight="1" x14ac:dyDescent="0.3">
      <c r="A55" s="17">
        <v>6</v>
      </c>
      <c r="B55" s="17">
        <v>64</v>
      </c>
      <c r="C55" s="74">
        <v>267</v>
      </c>
      <c r="D55" s="207"/>
      <c r="E55" s="189"/>
      <c r="F55" s="189"/>
      <c r="G55" s="66">
        <v>5</v>
      </c>
      <c r="H55" s="69" t="s">
        <v>332</v>
      </c>
      <c r="I55" s="66">
        <v>5</v>
      </c>
      <c r="J55" s="66" t="s">
        <v>316</v>
      </c>
      <c r="K55" s="69" t="s">
        <v>49</v>
      </c>
      <c r="L55" s="66" t="s">
        <v>316</v>
      </c>
      <c r="M55" s="66" t="s">
        <v>317</v>
      </c>
      <c r="N55" s="84">
        <v>48</v>
      </c>
      <c r="O55" s="84">
        <f>+Q55-P55</f>
        <v>0</v>
      </c>
      <c r="P55" s="57">
        <v>12</v>
      </c>
      <c r="Q55" s="57">
        <v>12</v>
      </c>
      <c r="R55" s="68" t="s">
        <v>228</v>
      </c>
      <c r="S55" s="101">
        <v>24</v>
      </c>
      <c r="T55" s="34"/>
      <c r="U55" s="34"/>
      <c r="V55" s="34">
        <v>36</v>
      </c>
      <c r="W55" s="35">
        <v>48</v>
      </c>
    </row>
    <row r="56" spans="1:23" s="20" customFormat="1" ht="120" customHeight="1" x14ac:dyDescent="0.3">
      <c r="A56" s="17">
        <v>7</v>
      </c>
      <c r="B56" s="17">
        <v>65</v>
      </c>
      <c r="C56" s="74">
        <v>268</v>
      </c>
      <c r="D56" s="207">
        <v>7</v>
      </c>
      <c r="E56" s="189" t="s">
        <v>333</v>
      </c>
      <c r="F56" s="189" t="s">
        <v>334</v>
      </c>
      <c r="G56" s="189">
        <v>1</v>
      </c>
      <c r="H56" s="190" t="s">
        <v>335</v>
      </c>
      <c r="I56" s="189">
        <v>1</v>
      </c>
      <c r="J56" s="189" t="s">
        <v>336</v>
      </c>
      <c r="K56" s="69" t="s">
        <v>337</v>
      </c>
      <c r="L56" s="66" t="s">
        <v>338</v>
      </c>
      <c r="M56" s="54">
        <v>2050</v>
      </c>
      <c r="N56" s="85">
        <v>11964</v>
      </c>
      <c r="O56" s="85">
        <f>+Q56-P56</f>
        <v>0</v>
      </c>
      <c r="P56" s="54">
        <v>4350</v>
      </c>
      <c r="Q56" s="54">
        <v>4350</v>
      </c>
      <c r="R56" s="68" t="s">
        <v>204</v>
      </c>
      <c r="S56" s="99">
        <v>6765</v>
      </c>
      <c r="T56" s="26"/>
      <c r="U56" s="26"/>
      <c r="V56" s="26">
        <v>9301</v>
      </c>
      <c r="W56" s="31">
        <v>11964</v>
      </c>
    </row>
    <row r="57" spans="1:23" s="20" customFormat="1" ht="120" customHeight="1" x14ac:dyDescent="0.3">
      <c r="A57" s="17">
        <v>7</v>
      </c>
      <c r="B57" s="17">
        <v>65</v>
      </c>
      <c r="C57" s="74">
        <v>269</v>
      </c>
      <c r="D57" s="207"/>
      <c r="E57" s="189"/>
      <c r="F57" s="189"/>
      <c r="G57" s="189"/>
      <c r="H57" s="190"/>
      <c r="I57" s="189"/>
      <c r="J57" s="189"/>
      <c r="K57" s="69" t="s">
        <v>339</v>
      </c>
      <c r="L57" s="66" t="s">
        <v>340</v>
      </c>
      <c r="M57" s="54" t="s">
        <v>260</v>
      </c>
      <c r="N57" s="83">
        <v>0.2</v>
      </c>
      <c r="O57" s="83" t="s">
        <v>259</v>
      </c>
      <c r="P57" s="52">
        <v>0.2</v>
      </c>
      <c r="Q57" s="52">
        <v>0.2</v>
      </c>
      <c r="R57" s="68" t="s">
        <v>161</v>
      </c>
      <c r="S57" s="94">
        <v>0.2</v>
      </c>
      <c r="T57" s="22"/>
      <c r="U57" s="22"/>
      <c r="V57" s="22">
        <v>0.2</v>
      </c>
      <c r="W57" s="23">
        <v>0.2</v>
      </c>
    </row>
    <row r="58" spans="1:23" s="20" customFormat="1" ht="120" customHeight="1" x14ac:dyDescent="0.3">
      <c r="A58" s="17">
        <v>7</v>
      </c>
      <c r="B58" s="17">
        <v>65</v>
      </c>
      <c r="C58" s="74">
        <v>270</v>
      </c>
      <c r="D58" s="207"/>
      <c r="E58" s="189"/>
      <c r="F58" s="189"/>
      <c r="G58" s="189"/>
      <c r="H58" s="190"/>
      <c r="I58" s="189"/>
      <c r="J58" s="189"/>
      <c r="K58" s="69" t="s">
        <v>52</v>
      </c>
      <c r="L58" s="66" t="s">
        <v>341</v>
      </c>
      <c r="M58" s="66">
        <v>871</v>
      </c>
      <c r="N58" s="85">
        <v>5500</v>
      </c>
      <c r="O58" s="85">
        <f>+Q58-P58</f>
        <v>-144</v>
      </c>
      <c r="P58" s="54">
        <v>1945</v>
      </c>
      <c r="Q58" s="54">
        <v>1801</v>
      </c>
      <c r="R58" s="68" t="s">
        <v>222</v>
      </c>
      <c r="S58" s="99">
        <v>3073</v>
      </c>
      <c r="T58" s="26"/>
      <c r="U58" s="26"/>
      <c r="V58" s="26">
        <v>4257</v>
      </c>
      <c r="W58" s="31">
        <v>5500</v>
      </c>
    </row>
    <row r="59" spans="1:23" s="20" customFormat="1" ht="120" customHeight="1" x14ac:dyDescent="0.3">
      <c r="A59" s="17">
        <v>7</v>
      </c>
      <c r="B59" s="17">
        <v>65</v>
      </c>
      <c r="C59" s="74">
        <v>271</v>
      </c>
      <c r="D59" s="207"/>
      <c r="E59" s="189"/>
      <c r="F59" s="189"/>
      <c r="G59" s="189"/>
      <c r="H59" s="190"/>
      <c r="I59" s="189"/>
      <c r="J59" s="189"/>
      <c r="K59" s="69" t="s">
        <v>342</v>
      </c>
      <c r="L59" s="66" t="s">
        <v>343</v>
      </c>
      <c r="M59" s="66" t="s">
        <v>279</v>
      </c>
      <c r="N59" s="82">
        <v>100</v>
      </c>
      <c r="O59" s="82" t="s">
        <v>259</v>
      </c>
      <c r="P59" s="51">
        <v>100</v>
      </c>
      <c r="Q59" s="51">
        <v>102</v>
      </c>
      <c r="R59" s="68" t="s">
        <v>223</v>
      </c>
      <c r="S59" s="82">
        <v>100</v>
      </c>
      <c r="T59" s="51"/>
      <c r="U59" s="51"/>
      <c r="V59" s="51">
        <v>100</v>
      </c>
      <c r="W59" s="65">
        <v>100</v>
      </c>
    </row>
    <row r="60" spans="1:23" s="20" customFormat="1" ht="120" customHeight="1" x14ac:dyDescent="0.3">
      <c r="A60" s="17">
        <v>7</v>
      </c>
      <c r="B60" s="17">
        <v>66</v>
      </c>
      <c r="C60" s="74">
        <v>272</v>
      </c>
      <c r="D60" s="207"/>
      <c r="E60" s="189"/>
      <c r="F60" s="189"/>
      <c r="G60" s="189">
        <v>2</v>
      </c>
      <c r="H60" s="190" t="s">
        <v>53</v>
      </c>
      <c r="I60" s="189">
        <v>2</v>
      </c>
      <c r="J60" s="189" t="s">
        <v>281</v>
      </c>
      <c r="K60" s="69" t="s">
        <v>54</v>
      </c>
      <c r="L60" s="66" t="s">
        <v>264</v>
      </c>
      <c r="M60" s="66" t="s">
        <v>259</v>
      </c>
      <c r="N60" s="84">
        <v>1</v>
      </c>
      <c r="O60" s="84">
        <f t="shared" ref="O60:O65" si="2">+Q60-P60</f>
        <v>0</v>
      </c>
      <c r="P60" s="66">
        <v>1</v>
      </c>
      <c r="Q60" s="66">
        <v>1</v>
      </c>
      <c r="R60" s="68" t="s">
        <v>167</v>
      </c>
      <c r="S60" s="93" t="s">
        <v>260</v>
      </c>
      <c r="T60" s="18"/>
      <c r="U60" s="18"/>
      <c r="V60" s="18" t="s">
        <v>260</v>
      </c>
      <c r="W60" s="19" t="s">
        <v>260</v>
      </c>
    </row>
    <row r="61" spans="1:23" s="20" customFormat="1" ht="120" customHeight="1" x14ac:dyDescent="0.3">
      <c r="A61" s="17">
        <v>7</v>
      </c>
      <c r="B61" s="17">
        <v>66</v>
      </c>
      <c r="C61" s="74">
        <v>273</v>
      </c>
      <c r="D61" s="207"/>
      <c r="E61" s="189"/>
      <c r="F61" s="189"/>
      <c r="G61" s="189"/>
      <c r="H61" s="190"/>
      <c r="I61" s="189"/>
      <c r="J61" s="189"/>
      <c r="K61" s="69" t="s">
        <v>55</v>
      </c>
      <c r="L61" s="66" t="s">
        <v>264</v>
      </c>
      <c r="M61" s="66" t="s">
        <v>259</v>
      </c>
      <c r="N61" s="87">
        <v>4</v>
      </c>
      <c r="O61" s="87">
        <f t="shared" si="2"/>
        <v>0</v>
      </c>
      <c r="P61" s="58">
        <v>1</v>
      </c>
      <c r="Q61" s="58">
        <v>1</v>
      </c>
      <c r="R61" s="68" t="s">
        <v>181</v>
      </c>
      <c r="S61" s="102">
        <v>2</v>
      </c>
      <c r="T61" s="36"/>
      <c r="U61" s="36"/>
      <c r="V61" s="36">
        <v>3</v>
      </c>
      <c r="W61" s="37">
        <v>4</v>
      </c>
    </row>
    <row r="62" spans="1:23" s="20" customFormat="1" ht="120" customHeight="1" x14ac:dyDescent="0.3">
      <c r="A62" s="17">
        <v>7</v>
      </c>
      <c r="B62" s="17">
        <v>66</v>
      </c>
      <c r="C62" s="74">
        <v>274</v>
      </c>
      <c r="D62" s="207"/>
      <c r="E62" s="189"/>
      <c r="F62" s="189"/>
      <c r="G62" s="189"/>
      <c r="H62" s="190"/>
      <c r="I62" s="189"/>
      <c r="J62" s="189"/>
      <c r="K62" s="69" t="s">
        <v>344</v>
      </c>
      <c r="L62" s="66" t="s">
        <v>307</v>
      </c>
      <c r="M62" s="70" t="s">
        <v>260</v>
      </c>
      <c r="N62" s="88">
        <v>400</v>
      </c>
      <c r="O62" s="88">
        <f t="shared" si="2"/>
        <v>0</v>
      </c>
      <c r="P62" s="58">
        <v>60</v>
      </c>
      <c r="Q62" s="58">
        <v>60</v>
      </c>
      <c r="R62" s="68" t="s">
        <v>205</v>
      </c>
      <c r="S62" s="102">
        <v>180</v>
      </c>
      <c r="T62" s="36"/>
      <c r="U62" s="36"/>
      <c r="V62" s="36">
        <v>330</v>
      </c>
      <c r="W62" s="37">
        <v>400</v>
      </c>
    </row>
    <row r="63" spans="1:23" s="20" customFormat="1" ht="120" customHeight="1" x14ac:dyDescent="0.3">
      <c r="A63" s="17">
        <v>7</v>
      </c>
      <c r="B63" s="17">
        <v>66</v>
      </c>
      <c r="C63" s="74">
        <v>306</v>
      </c>
      <c r="D63" s="207"/>
      <c r="E63" s="189"/>
      <c r="F63" s="189"/>
      <c r="G63" s="189"/>
      <c r="H63" s="190"/>
      <c r="I63" s="189"/>
      <c r="J63" s="189"/>
      <c r="K63" s="59" t="s">
        <v>345</v>
      </c>
      <c r="L63" s="66" t="s">
        <v>307</v>
      </c>
      <c r="M63" s="66" t="s">
        <v>260</v>
      </c>
      <c r="N63" s="87">
        <v>300</v>
      </c>
      <c r="O63" s="87">
        <f t="shared" si="2"/>
        <v>323</v>
      </c>
      <c r="P63" s="58">
        <v>50</v>
      </c>
      <c r="Q63" s="58">
        <v>373</v>
      </c>
      <c r="R63" s="68" t="s">
        <v>235</v>
      </c>
      <c r="S63" s="102">
        <v>120</v>
      </c>
      <c r="T63" s="36"/>
      <c r="U63" s="36"/>
      <c r="V63" s="36">
        <v>250</v>
      </c>
      <c r="W63" s="37">
        <v>300</v>
      </c>
    </row>
    <row r="64" spans="1:23" s="20" customFormat="1" ht="120" customHeight="1" x14ac:dyDescent="0.3">
      <c r="A64" s="17">
        <v>7</v>
      </c>
      <c r="B64" s="17">
        <v>68</v>
      </c>
      <c r="C64" s="74">
        <v>275</v>
      </c>
      <c r="D64" s="207"/>
      <c r="E64" s="189"/>
      <c r="F64" s="189"/>
      <c r="G64" s="189">
        <v>3</v>
      </c>
      <c r="H64" s="190" t="s">
        <v>346</v>
      </c>
      <c r="I64" s="189">
        <v>3</v>
      </c>
      <c r="J64" s="189" t="s">
        <v>347</v>
      </c>
      <c r="K64" s="69" t="s">
        <v>348</v>
      </c>
      <c r="L64" s="66" t="s">
        <v>285</v>
      </c>
      <c r="M64" s="66" t="s">
        <v>259</v>
      </c>
      <c r="N64" s="84">
        <v>600</v>
      </c>
      <c r="O64" s="84">
        <f t="shared" si="2"/>
        <v>0</v>
      </c>
      <c r="P64" s="66">
        <v>150</v>
      </c>
      <c r="Q64" s="66">
        <v>150</v>
      </c>
      <c r="R64" s="68" t="s">
        <v>187</v>
      </c>
      <c r="S64" s="93">
        <v>300</v>
      </c>
      <c r="T64" s="18"/>
      <c r="U64" s="18"/>
      <c r="V64" s="18">
        <v>450</v>
      </c>
      <c r="W64" s="19">
        <v>600</v>
      </c>
    </row>
    <row r="65" spans="1:23" s="20" customFormat="1" ht="120" customHeight="1" x14ac:dyDescent="0.3">
      <c r="A65" s="17">
        <v>7</v>
      </c>
      <c r="B65" s="17">
        <v>68</v>
      </c>
      <c r="C65" s="74">
        <v>276</v>
      </c>
      <c r="D65" s="207"/>
      <c r="E65" s="189"/>
      <c r="F65" s="189"/>
      <c r="G65" s="189"/>
      <c r="H65" s="190"/>
      <c r="I65" s="189"/>
      <c r="J65" s="189"/>
      <c r="K65" s="69" t="s">
        <v>349</v>
      </c>
      <c r="L65" s="66" t="s">
        <v>316</v>
      </c>
      <c r="M65" s="66" t="s">
        <v>259</v>
      </c>
      <c r="N65" s="84">
        <v>32</v>
      </c>
      <c r="O65" s="84">
        <f t="shared" si="2"/>
        <v>0</v>
      </c>
      <c r="P65" s="66">
        <v>8</v>
      </c>
      <c r="Q65" s="66">
        <v>8</v>
      </c>
      <c r="R65" s="68" t="s">
        <v>229</v>
      </c>
      <c r="S65" s="93">
        <v>17</v>
      </c>
      <c r="T65" s="18"/>
      <c r="U65" s="18"/>
      <c r="V65" s="18">
        <v>26</v>
      </c>
      <c r="W65" s="19">
        <v>32</v>
      </c>
    </row>
    <row r="66" spans="1:23" s="20" customFormat="1" ht="120" customHeight="1" x14ac:dyDescent="0.3">
      <c r="A66" s="17">
        <v>8</v>
      </c>
      <c r="B66" s="17">
        <v>69</v>
      </c>
      <c r="C66" s="74">
        <v>277</v>
      </c>
      <c r="D66" s="207">
        <v>8</v>
      </c>
      <c r="E66" s="189" t="s">
        <v>350</v>
      </c>
      <c r="F66" s="191" t="s">
        <v>351</v>
      </c>
      <c r="G66" s="189">
        <v>1</v>
      </c>
      <c r="H66" s="190" t="s">
        <v>58</v>
      </c>
      <c r="I66" s="189">
        <v>1</v>
      </c>
      <c r="J66" s="189" t="s">
        <v>352</v>
      </c>
      <c r="K66" s="69" t="s">
        <v>59</v>
      </c>
      <c r="L66" s="66" t="s">
        <v>353</v>
      </c>
      <c r="M66" s="60">
        <v>0.90600000000000003</v>
      </c>
      <c r="N66" s="89">
        <v>0.91500000000000004</v>
      </c>
      <c r="O66" s="89" t="s">
        <v>259</v>
      </c>
      <c r="P66" s="61">
        <v>0.90800000000000003</v>
      </c>
      <c r="Q66" s="61">
        <v>0.96</v>
      </c>
      <c r="R66" s="68" t="s">
        <v>182</v>
      </c>
      <c r="S66" s="103">
        <v>0.91</v>
      </c>
      <c r="T66" s="38"/>
      <c r="U66" s="38"/>
      <c r="V66" s="38">
        <v>0.91300000000000003</v>
      </c>
      <c r="W66" s="39">
        <v>0.91500000000000004</v>
      </c>
    </row>
    <row r="67" spans="1:23" s="20" customFormat="1" ht="120" customHeight="1" x14ac:dyDescent="0.3">
      <c r="A67" s="17">
        <v>8</v>
      </c>
      <c r="B67" s="17">
        <v>69</v>
      </c>
      <c r="C67" s="74">
        <v>278</v>
      </c>
      <c r="D67" s="207"/>
      <c r="E67" s="189"/>
      <c r="F67" s="191"/>
      <c r="G67" s="189"/>
      <c r="H67" s="190"/>
      <c r="I67" s="189"/>
      <c r="J67" s="189"/>
      <c r="K67" s="68" t="s">
        <v>354</v>
      </c>
      <c r="L67" s="66" t="s">
        <v>60</v>
      </c>
      <c r="M67" s="66" t="s">
        <v>279</v>
      </c>
      <c r="N67" s="81">
        <v>1</v>
      </c>
      <c r="O67" s="81" t="s">
        <v>259</v>
      </c>
      <c r="P67" s="49">
        <v>1</v>
      </c>
      <c r="Q67" s="49">
        <v>1</v>
      </c>
      <c r="R67" s="68" t="s">
        <v>183</v>
      </c>
      <c r="S67" s="97">
        <v>1</v>
      </c>
      <c r="T67" s="21"/>
      <c r="U67" s="21"/>
      <c r="V67" s="21">
        <v>1</v>
      </c>
      <c r="W67" s="29">
        <v>1</v>
      </c>
    </row>
    <row r="68" spans="1:23" s="20" customFormat="1" ht="120" customHeight="1" x14ac:dyDescent="0.3">
      <c r="A68" s="17">
        <v>8</v>
      </c>
      <c r="B68" s="17">
        <v>69</v>
      </c>
      <c r="C68" s="74">
        <v>279</v>
      </c>
      <c r="D68" s="207"/>
      <c r="E68" s="189"/>
      <c r="F68" s="191"/>
      <c r="G68" s="189"/>
      <c r="H68" s="190"/>
      <c r="I68" s="189"/>
      <c r="J68" s="189"/>
      <c r="K68" s="69" t="s">
        <v>61</v>
      </c>
      <c r="L68" s="66" t="s">
        <v>351</v>
      </c>
      <c r="M68" s="49">
        <v>0.1</v>
      </c>
      <c r="N68" s="81">
        <v>0.1</v>
      </c>
      <c r="O68" s="81" t="s">
        <v>259</v>
      </c>
      <c r="P68" s="49">
        <v>0.1</v>
      </c>
      <c r="Q68" s="49">
        <v>0.09</v>
      </c>
      <c r="R68" s="68" t="s">
        <v>158</v>
      </c>
      <c r="S68" s="97">
        <v>0.1</v>
      </c>
      <c r="T68" s="21"/>
      <c r="U68" s="21"/>
      <c r="V68" s="21">
        <v>0.1</v>
      </c>
      <c r="W68" s="29">
        <v>0.1</v>
      </c>
    </row>
    <row r="69" spans="1:23" s="20" customFormat="1" ht="120" customHeight="1" x14ac:dyDescent="0.3">
      <c r="A69" s="17">
        <v>8</v>
      </c>
      <c r="B69" s="17">
        <v>70</v>
      </c>
      <c r="C69" s="74">
        <v>283</v>
      </c>
      <c r="D69" s="207"/>
      <c r="E69" s="189"/>
      <c r="F69" s="191"/>
      <c r="G69" s="66">
        <v>2</v>
      </c>
      <c r="H69" s="69" t="s">
        <v>62</v>
      </c>
      <c r="I69" s="66">
        <v>2</v>
      </c>
      <c r="J69" s="66" t="s">
        <v>60</v>
      </c>
      <c r="K69" s="69" t="s">
        <v>355</v>
      </c>
      <c r="L69" s="66" t="s">
        <v>60</v>
      </c>
      <c r="M69" s="52" t="s">
        <v>259</v>
      </c>
      <c r="N69" s="81">
        <v>1</v>
      </c>
      <c r="O69" s="81">
        <v>0</v>
      </c>
      <c r="P69" s="49">
        <v>0.43</v>
      </c>
      <c r="Q69" s="49">
        <v>0.43</v>
      </c>
      <c r="R69" s="68" t="s">
        <v>208</v>
      </c>
      <c r="S69" s="97">
        <v>0.6</v>
      </c>
      <c r="T69" s="21"/>
      <c r="U69" s="21"/>
      <c r="V69" s="21">
        <v>0.8</v>
      </c>
      <c r="W69" s="29">
        <v>1</v>
      </c>
    </row>
    <row r="70" spans="1:23" s="20" customFormat="1" ht="120" customHeight="1" x14ac:dyDescent="0.3">
      <c r="A70" s="17">
        <v>8</v>
      </c>
      <c r="B70" s="17">
        <v>71</v>
      </c>
      <c r="C70" s="74">
        <v>281</v>
      </c>
      <c r="D70" s="207"/>
      <c r="E70" s="189"/>
      <c r="F70" s="191"/>
      <c r="G70" s="66">
        <v>3</v>
      </c>
      <c r="H70" s="69" t="s">
        <v>63</v>
      </c>
      <c r="I70" s="66">
        <v>3</v>
      </c>
      <c r="J70" s="66" t="s">
        <v>60</v>
      </c>
      <c r="K70" s="69" t="s">
        <v>356</v>
      </c>
      <c r="L70" s="66" t="s">
        <v>60</v>
      </c>
      <c r="M70" s="66" t="s">
        <v>317</v>
      </c>
      <c r="N70" s="81">
        <v>1</v>
      </c>
      <c r="O70" s="81">
        <f>+Q70-P70</f>
        <v>0</v>
      </c>
      <c r="P70" s="49">
        <v>0.6</v>
      </c>
      <c r="Q70" s="49">
        <v>0.6</v>
      </c>
      <c r="R70" s="68" t="s">
        <v>207</v>
      </c>
      <c r="S70" s="97">
        <v>0.75</v>
      </c>
      <c r="T70" s="21"/>
      <c r="U70" s="21"/>
      <c r="V70" s="21">
        <v>0.9</v>
      </c>
      <c r="W70" s="29">
        <v>1</v>
      </c>
    </row>
    <row r="71" spans="1:23" s="20" customFormat="1" ht="120" customHeight="1" x14ac:dyDescent="0.3">
      <c r="A71" s="17">
        <v>8</v>
      </c>
      <c r="B71" s="17">
        <v>72</v>
      </c>
      <c r="C71" s="74">
        <v>282</v>
      </c>
      <c r="D71" s="207"/>
      <c r="E71" s="189"/>
      <c r="F71" s="191"/>
      <c r="G71" s="66">
        <v>4</v>
      </c>
      <c r="H71" s="69" t="s">
        <v>357</v>
      </c>
      <c r="I71" s="66">
        <v>4</v>
      </c>
      <c r="J71" s="66" t="s">
        <v>66</v>
      </c>
      <c r="K71" s="69" t="s">
        <v>67</v>
      </c>
      <c r="L71" s="66" t="s">
        <v>66</v>
      </c>
      <c r="M71" s="66" t="s">
        <v>279</v>
      </c>
      <c r="N71" s="81">
        <v>1</v>
      </c>
      <c r="O71" s="81" t="s">
        <v>259</v>
      </c>
      <c r="P71" s="49">
        <v>1</v>
      </c>
      <c r="Q71" s="49">
        <v>0.99</v>
      </c>
      <c r="R71" s="68" t="s">
        <v>206</v>
      </c>
      <c r="S71" s="97">
        <v>1</v>
      </c>
      <c r="T71" s="21"/>
      <c r="U71" s="21"/>
      <c r="V71" s="21">
        <v>1</v>
      </c>
      <c r="W71" s="29">
        <v>1</v>
      </c>
    </row>
    <row r="72" spans="1:23" s="20" customFormat="1" ht="120" customHeight="1" x14ac:dyDescent="0.3">
      <c r="A72" s="17">
        <v>8</v>
      </c>
      <c r="B72" s="17">
        <v>73</v>
      </c>
      <c r="C72" s="74">
        <v>280</v>
      </c>
      <c r="D72" s="207"/>
      <c r="E72" s="189"/>
      <c r="F72" s="191"/>
      <c r="G72" s="66">
        <v>5</v>
      </c>
      <c r="H72" s="69" t="s">
        <v>68</v>
      </c>
      <c r="I72" s="66">
        <v>5</v>
      </c>
      <c r="J72" s="66" t="s">
        <v>358</v>
      </c>
      <c r="K72" s="69" t="s">
        <v>359</v>
      </c>
      <c r="L72" s="68" t="s">
        <v>360</v>
      </c>
      <c r="M72" s="66" t="s">
        <v>259</v>
      </c>
      <c r="N72" s="90">
        <v>1</v>
      </c>
      <c r="O72" s="90" t="s">
        <v>259</v>
      </c>
      <c r="P72" s="50">
        <v>1</v>
      </c>
      <c r="Q72" s="50">
        <v>1</v>
      </c>
      <c r="R72" s="68" t="s">
        <v>209</v>
      </c>
      <c r="S72" s="90">
        <v>1</v>
      </c>
      <c r="T72" s="50"/>
      <c r="U72" s="50"/>
      <c r="V72" s="50">
        <v>1</v>
      </c>
      <c r="W72" s="62">
        <v>1</v>
      </c>
    </row>
    <row r="73" spans="1:23" s="20" customFormat="1" ht="120" customHeight="1" x14ac:dyDescent="0.3">
      <c r="A73" s="17">
        <v>8</v>
      </c>
      <c r="B73" s="17">
        <v>74</v>
      </c>
      <c r="C73" s="74">
        <v>284</v>
      </c>
      <c r="D73" s="207"/>
      <c r="E73" s="189"/>
      <c r="F73" s="191"/>
      <c r="G73" s="189">
        <v>6</v>
      </c>
      <c r="H73" s="190" t="s">
        <v>69</v>
      </c>
      <c r="I73" s="189">
        <v>6</v>
      </c>
      <c r="J73" s="189" t="s">
        <v>361</v>
      </c>
      <c r="K73" s="69" t="s">
        <v>362</v>
      </c>
      <c r="L73" s="66" t="s">
        <v>361</v>
      </c>
      <c r="M73" s="66" t="s">
        <v>322</v>
      </c>
      <c r="N73" s="81">
        <v>0.9</v>
      </c>
      <c r="O73" s="81" t="s">
        <v>259</v>
      </c>
      <c r="P73" s="49">
        <v>0.9</v>
      </c>
      <c r="Q73" s="49">
        <v>0.94</v>
      </c>
      <c r="R73" s="68" t="s">
        <v>216</v>
      </c>
      <c r="S73" s="97">
        <v>0.9</v>
      </c>
      <c r="T73" s="21"/>
      <c r="U73" s="21"/>
      <c r="V73" s="21">
        <v>0.9</v>
      </c>
      <c r="W73" s="29">
        <v>0.9</v>
      </c>
    </row>
    <row r="74" spans="1:23" s="20" customFormat="1" ht="120" customHeight="1" x14ac:dyDescent="0.3">
      <c r="A74" s="17">
        <v>8</v>
      </c>
      <c r="B74" s="17">
        <v>74</v>
      </c>
      <c r="C74" s="74">
        <v>285</v>
      </c>
      <c r="D74" s="207"/>
      <c r="E74" s="189"/>
      <c r="F74" s="191"/>
      <c r="G74" s="189"/>
      <c r="H74" s="190"/>
      <c r="I74" s="189"/>
      <c r="J74" s="189"/>
      <c r="K74" s="69" t="s">
        <v>70</v>
      </c>
      <c r="L74" s="66" t="s">
        <v>361</v>
      </c>
      <c r="M74" s="66" t="s">
        <v>260</v>
      </c>
      <c r="N74" s="81">
        <v>0.8</v>
      </c>
      <c r="O74" s="81" t="s">
        <v>259</v>
      </c>
      <c r="P74" s="52">
        <v>0.8</v>
      </c>
      <c r="Q74" s="52">
        <v>0.94</v>
      </c>
      <c r="R74" s="68" t="s">
        <v>217</v>
      </c>
      <c r="S74" s="94">
        <v>0.8</v>
      </c>
      <c r="T74" s="22"/>
      <c r="U74" s="22"/>
      <c r="V74" s="22">
        <v>0.8</v>
      </c>
      <c r="W74" s="23">
        <v>0.8</v>
      </c>
    </row>
    <row r="75" spans="1:23" s="20" customFormat="1" ht="120" customHeight="1" x14ac:dyDescent="0.3">
      <c r="A75" s="17">
        <v>8</v>
      </c>
      <c r="B75" s="17">
        <v>75</v>
      </c>
      <c r="C75" s="74">
        <v>286</v>
      </c>
      <c r="D75" s="207"/>
      <c r="E75" s="189"/>
      <c r="F75" s="191"/>
      <c r="G75" s="66">
        <v>7</v>
      </c>
      <c r="H75" s="69" t="s">
        <v>363</v>
      </c>
      <c r="I75" s="66">
        <v>7</v>
      </c>
      <c r="J75" s="66" t="s">
        <v>364</v>
      </c>
      <c r="K75" s="69" t="s">
        <v>71</v>
      </c>
      <c r="L75" s="68" t="s">
        <v>365</v>
      </c>
      <c r="M75" s="49">
        <v>0.9</v>
      </c>
      <c r="N75" s="81">
        <v>0.96</v>
      </c>
      <c r="O75" s="81" t="s">
        <v>259</v>
      </c>
      <c r="P75" s="66">
        <v>91</v>
      </c>
      <c r="Q75" s="66">
        <v>91</v>
      </c>
      <c r="R75" s="68" t="s">
        <v>101</v>
      </c>
      <c r="S75" s="93">
        <v>92</v>
      </c>
      <c r="T75" s="18"/>
      <c r="U75" s="18"/>
      <c r="V75" s="18">
        <v>94</v>
      </c>
      <c r="W75" s="19">
        <v>96</v>
      </c>
    </row>
    <row r="76" spans="1:23" s="20" customFormat="1" ht="120" customHeight="1" x14ac:dyDescent="0.3">
      <c r="A76" s="17">
        <v>8</v>
      </c>
      <c r="B76" s="17">
        <v>76</v>
      </c>
      <c r="C76" s="74">
        <v>287</v>
      </c>
      <c r="D76" s="207"/>
      <c r="E76" s="189"/>
      <c r="F76" s="191"/>
      <c r="G76" s="66">
        <v>8</v>
      </c>
      <c r="H76" s="69" t="s">
        <v>72</v>
      </c>
      <c r="I76" s="66">
        <v>8</v>
      </c>
      <c r="J76" s="66" t="s">
        <v>366</v>
      </c>
      <c r="K76" s="69" t="s">
        <v>73</v>
      </c>
      <c r="L76" s="66" t="s">
        <v>366</v>
      </c>
      <c r="M76" s="66" t="s">
        <v>260</v>
      </c>
      <c r="N76" s="84">
        <v>7</v>
      </c>
      <c r="O76" s="84">
        <f>+Q76-P76</f>
        <v>0</v>
      </c>
      <c r="P76" s="66">
        <v>2</v>
      </c>
      <c r="Q76" s="66">
        <v>2</v>
      </c>
      <c r="R76" s="68" t="s">
        <v>218</v>
      </c>
      <c r="S76" s="93">
        <v>4</v>
      </c>
      <c r="T76" s="18"/>
      <c r="U76" s="18"/>
      <c r="V76" s="18">
        <v>6</v>
      </c>
      <c r="W76" s="19">
        <v>7</v>
      </c>
    </row>
    <row r="77" spans="1:23" s="20" customFormat="1" ht="120" customHeight="1" thickBot="1" x14ac:dyDescent="0.35">
      <c r="A77" s="17">
        <v>8</v>
      </c>
      <c r="B77" s="17">
        <v>77</v>
      </c>
      <c r="C77" s="74">
        <v>288</v>
      </c>
      <c r="D77" s="215"/>
      <c r="E77" s="216"/>
      <c r="F77" s="217"/>
      <c r="G77" s="67">
        <v>9</v>
      </c>
      <c r="H77" s="63" t="s">
        <v>74</v>
      </c>
      <c r="I77" s="67">
        <v>9</v>
      </c>
      <c r="J77" s="67" t="s">
        <v>1</v>
      </c>
      <c r="K77" s="63" t="s">
        <v>75</v>
      </c>
      <c r="L77" s="67" t="s">
        <v>1</v>
      </c>
      <c r="M77" s="64">
        <v>0.75</v>
      </c>
      <c r="N77" s="91">
        <v>0.85</v>
      </c>
      <c r="O77" s="91" t="s">
        <v>259</v>
      </c>
      <c r="P77" s="71">
        <v>0.78</v>
      </c>
      <c r="Q77" s="71">
        <v>0.89659999999999995</v>
      </c>
      <c r="R77" s="72" t="s">
        <v>211</v>
      </c>
      <c r="S77" s="104">
        <v>0.8</v>
      </c>
      <c r="T77" s="40"/>
      <c r="U77" s="40"/>
      <c r="V77" s="40">
        <v>0.83</v>
      </c>
      <c r="W77" s="41">
        <v>0.85</v>
      </c>
    </row>
    <row r="80" spans="1:23" x14ac:dyDescent="0.25">
      <c r="G80" s="45"/>
      <c r="H80" s="45"/>
      <c r="I80" s="45"/>
      <c r="J80" s="45"/>
      <c r="K80" s="45"/>
      <c r="L80" s="46"/>
    </row>
    <row r="81" spans="7:11" ht="15.6" x14ac:dyDescent="0.25">
      <c r="G81" s="214" t="s">
        <v>367</v>
      </c>
      <c r="H81" s="214"/>
      <c r="I81" s="214"/>
      <c r="J81" s="214"/>
      <c r="K81" s="214"/>
    </row>
    <row r="82" spans="7:11" x14ac:dyDescent="0.25">
      <c r="G82" s="212">
        <v>43616</v>
      </c>
      <c r="H82" s="213"/>
      <c r="I82" s="213"/>
      <c r="J82" s="213"/>
      <c r="K82" s="213"/>
    </row>
  </sheetData>
  <mergeCells count="108">
    <mergeCell ref="G82:K82"/>
    <mergeCell ref="G81:K81"/>
    <mergeCell ref="J73:J74"/>
    <mergeCell ref="D66:D77"/>
    <mergeCell ref="E66:E77"/>
    <mergeCell ref="F66:F77"/>
    <mergeCell ref="G66:G68"/>
    <mergeCell ref="H66:H68"/>
    <mergeCell ref="J66:J68"/>
    <mergeCell ref="G73:G74"/>
    <mergeCell ref="H73:H74"/>
    <mergeCell ref="I66:I68"/>
    <mergeCell ref="I73:I74"/>
    <mergeCell ref="L46:L47"/>
    <mergeCell ref="L48:L49"/>
    <mergeCell ref="G64:G65"/>
    <mergeCell ref="I56:I59"/>
    <mergeCell ref="I60:I63"/>
    <mergeCell ref="I64:I65"/>
    <mergeCell ref="H64:H65"/>
    <mergeCell ref="D56:D65"/>
    <mergeCell ref="E56:E65"/>
    <mergeCell ref="F56:F65"/>
    <mergeCell ref="G56:G59"/>
    <mergeCell ref="H56:H59"/>
    <mergeCell ref="G60:G63"/>
    <mergeCell ref="H60:H63"/>
    <mergeCell ref="J64:J65"/>
    <mergeCell ref="J56:J59"/>
    <mergeCell ref="J60:J63"/>
    <mergeCell ref="J53:J54"/>
    <mergeCell ref="I53:I54"/>
    <mergeCell ref="D37:D39"/>
    <mergeCell ref="E37:E39"/>
    <mergeCell ref="F37:F39"/>
    <mergeCell ref="G48:G50"/>
    <mergeCell ref="H48:H50"/>
    <mergeCell ref="J48:J50"/>
    <mergeCell ref="G51:G52"/>
    <mergeCell ref="H51:H52"/>
    <mergeCell ref="J51:J52"/>
    <mergeCell ref="D40:D45"/>
    <mergeCell ref="E40:E45"/>
    <mergeCell ref="J40:J42"/>
    <mergeCell ref="G43:G45"/>
    <mergeCell ref="H43:H45"/>
    <mergeCell ref="J43:J45"/>
    <mergeCell ref="I38:I39"/>
    <mergeCell ref="I40:I42"/>
    <mergeCell ref="I43:I45"/>
    <mergeCell ref="J46:J47"/>
    <mergeCell ref="I46:I47"/>
    <mergeCell ref="I48:I50"/>
    <mergeCell ref="I51:I52"/>
    <mergeCell ref="G38:G39"/>
    <mergeCell ref="H38:H39"/>
    <mergeCell ref="D13:D21"/>
    <mergeCell ref="E13:E21"/>
    <mergeCell ref="F13:F21"/>
    <mergeCell ref="G13:G15"/>
    <mergeCell ref="H13:H15"/>
    <mergeCell ref="J5:J7"/>
    <mergeCell ref="I5:I7"/>
    <mergeCell ref="I8:I11"/>
    <mergeCell ref="J8:J11"/>
    <mergeCell ref="J13:J15"/>
    <mergeCell ref="I13:I15"/>
    <mergeCell ref="J16:J18"/>
    <mergeCell ref="I16:I18"/>
    <mergeCell ref="I19:I20"/>
    <mergeCell ref="H16:H18"/>
    <mergeCell ref="G16:G18"/>
    <mergeCell ref="G19:G20"/>
    <mergeCell ref="H19:H20"/>
    <mergeCell ref="I1:W3"/>
    <mergeCell ref="D1:H3"/>
    <mergeCell ref="F40:F45"/>
    <mergeCell ref="G40:G42"/>
    <mergeCell ref="H40:H42"/>
    <mergeCell ref="D46:D55"/>
    <mergeCell ref="E46:E55"/>
    <mergeCell ref="F46:F55"/>
    <mergeCell ref="G46:G47"/>
    <mergeCell ref="H46:H47"/>
    <mergeCell ref="G53:G54"/>
    <mergeCell ref="H53:H54"/>
    <mergeCell ref="D22:D36"/>
    <mergeCell ref="E22:E36"/>
    <mergeCell ref="F22:F36"/>
    <mergeCell ref="G22:G26"/>
    <mergeCell ref="H22:H26"/>
    <mergeCell ref="D5:D12"/>
    <mergeCell ref="E5:E12"/>
    <mergeCell ref="F5:F12"/>
    <mergeCell ref="G5:G7"/>
    <mergeCell ref="H5:H7"/>
    <mergeCell ref="G8:G11"/>
    <mergeCell ref="H8:H11"/>
    <mergeCell ref="J22:J26"/>
    <mergeCell ref="I22:I26"/>
    <mergeCell ref="I34:I36"/>
    <mergeCell ref="G34:G36"/>
    <mergeCell ref="H34:H36"/>
    <mergeCell ref="J34:J36"/>
    <mergeCell ref="J27:J32"/>
    <mergeCell ref="I27:I32"/>
    <mergeCell ref="H27:H32"/>
    <mergeCell ref="G27:G32"/>
  </mergeCells>
  <conditionalFormatting sqref="O5:O77">
    <cfRule type="cellIs" dxfId="0" priority="1" operator="lessThan">
      <formula>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21" max="18" man="1"/>
    <brk id="39" max="16383" man="1"/>
    <brk id="55"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CD62-91C0-436A-8534-1C0E05837919}">
  <sheetPr>
    <tabColor rgb="FF92D050"/>
  </sheetPr>
  <dimension ref="A1:AE87"/>
  <sheetViews>
    <sheetView showGridLines="0" tabSelected="1" topLeftCell="K1" zoomScale="80" zoomScaleNormal="80" zoomScaleSheetLayoutView="20" workbookViewId="0">
      <pane ySplit="4" topLeftCell="A75" activePane="bottomLeft" state="frozen"/>
      <selection pane="bottomLeft" activeCell="X79" sqref="X79"/>
    </sheetView>
  </sheetViews>
  <sheetFormatPr baseColWidth="10" defaultColWidth="11.44140625" defaultRowHeight="14.4" x14ac:dyDescent="0.25"/>
  <cols>
    <col min="1" max="1" width="6.5546875" style="43" customWidth="1"/>
    <col min="2" max="2" width="27.109375" style="44" customWidth="1"/>
    <col min="3" max="3" width="17.109375" style="44" customWidth="1"/>
    <col min="4" max="4" width="5" style="43" customWidth="1"/>
    <col min="5" max="5" width="39.33203125" style="44" customWidth="1"/>
    <col min="6" max="6" width="5" style="43" customWidth="1"/>
    <col min="7" max="7" width="26.33203125" style="47" customWidth="1"/>
    <col min="8" max="8" width="47.44140625" style="44" customWidth="1"/>
    <col min="9" max="9" width="43" style="44" bestFit="1" customWidth="1"/>
    <col min="10" max="10" width="13.44140625" style="44" bestFit="1" customWidth="1"/>
    <col min="11" max="11" width="22.44140625" style="43" bestFit="1" customWidth="1"/>
    <col min="12" max="13" width="18.44140625" style="44" bestFit="1" customWidth="1"/>
    <col min="14" max="14" width="22.44140625" style="44" bestFit="1" customWidth="1"/>
    <col min="15" max="15" width="20.6640625" style="44" bestFit="1" customWidth="1"/>
    <col min="16" max="16" width="24.109375" style="44" hidden="1" customWidth="1"/>
    <col min="17" max="17" width="31.33203125" style="44" hidden="1" customWidth="1"/>
    <col min="18" max="18" width="23.5546875" style="44" hidden="1" customWidth="1"/>
    <col min="19" max="19" width="18.6640625" style="44" bestFit="1" customWidth="1"/>
    <col min="20" max="20" width="20.6640625" style="44" bestFit="1" customWidth="1"/>
    <col min="21" max="21" width="26.88671875" style="44" hidden="1" customWidth="1"/>
    <col min="22" max="22" width="37.109375" style="44" hidden="1" customWidth="1"/>
    <col min="23" max="23" width="23.5546875" style="44" hidden="1" customWidth="1"/>
    <col min="24" max="25" width="18.6640625" style="44" customWidth="1"/>
    <col min="26" max="26" width="19.5546875" style="48" bestFit="1" customWidth="1"/>
    <col min="27" max="28" width="19.5546875" style="48" customWidth="1"/>
    <col min="29" max="29" width="54" style="48" customWidth="1"/>
    <col min="30" max="16384" width="11.44140625" style="48"/>
  </cols>
  <sheetData>
    <row r="1" spans="1:29" s="13" customFormat="1" ht="30.75" customHeight="1" x14ac:dyDescent="0.3">
      <c r="A1" s="198"/>
      <c r="B1" s="199"/>
      <c r="C1" s="199"/>
      <c r="D1" s="199"/>
      <c r="E1" s="200"/>
      <c r="F1" s="220" t="s">
        <v>385</v>
      </c>
      <c r="G1" s="194"/>
      <c r="H1" s="194"/>
      <c r="I1" s="194"/>
      <c r="J1" s="194"/>
      <c r="K1" s="194"/>
      <c r="L1" s="194"/>
      <c r="M1" s="194"/>
      <c r="N1" s="194"/>
      <c r="O1" s="194"/>
      <c r="P1" s="194"/>
      <c r="Q1" s="194"/>
      <c r="R1" s="194"/>
      <c r="S1" s="194"/>
      <c r="T1" s="194"/>
      <c r="U1" s="194"/>
      <c r="V1" s="194"/>
      <c r="W1" s="194"/>
      <c r="X1" s="194"/>
      <c r="Y1" s="194"/>
      <c r="Z1" s="194"/>
      <c r="AA1" s="194"/>
      <c r="AB1" s="194"/>
      <c r="AC1" s="194"/>
    </row>
    <row r="2" spans="1:29" s="14" customFormat="1" ht="30.75" customHeight="1" x14ac:dyDescent="0.3">
      <c r="A2" s="201"/>
      <c r="B2" s="202"/>
      <c r="C2" s="202"/>
      <c r="D2" s="202"/>
      <c r="E2" s="203"/>
      <c r="F2" s="121"/>
      <c r="G2" s="121"/>
      <c r="H2" s="121"/>
      <c r="I2" s="121"/>
      <c r="J2" s="121"/>
      <c r="K2" s="121"/>
      <c r="L2" s="121"/>
      <c r="M2" s="121"/>
      <c r="N2" s="121"/>
      <c r="O2" s="121"/>
      <c r="P2" s="121"/>
      <c r="Q2" s="121"/>
      <c r="R2" s="121"/>
      <c r="S2" s="121"/>
      <c r="T2" s="121"/>
      <c r="U2" s="121"/>
      <c r="V2" s="121"/>
      <c r="W2" s="121"/>
      <c r="X2" s="121"/>
      <c r="Y2" s="121"/>
    </row>
    <row r="3" spans="1:29" s="13" customFormat="1" ht="30.75" customHeight="1" thickBot="1" x14ac:dyDescent="0.35">
      <c r="A3" s="201"/>
      <c r="B3" s="202"/>
      <c r="C3" s="202"/>
      <c r="D3" s="202"/>
      <c r="E3" s="203"/>
      <c r="F3" s="121"/>
      <c r="G3" s="121"/>
      <c r="H3" s="121"/>
      <c r="I3" s="121"/>
      <c r="J3" s="121"/>
      <c r="K3" s="121"/>
      <c r="L3" s="121"/>
      <c r="M3" s="121"/>
      <c r="N3" s="121"/>
      <c r="O3" s="121"/>
      <c r="P3" s="121"/>
      <c r="Q3" s="121"/>
      <c r="R3" s="121"/>
      <c r="S3" s="121"/>
      <c r="T3" s="121"/>
      <c r="U3" s="121"/>
      <c r="V3" s="121"/>
      <c r="W3" s="121"/>
      <c r="X3" s="121"/>
      <c r="Y3" s="121"/>
    </row>
    <row r="4" spans="1:29" s="16" customFormat="1" ht="51.75" customHeight="1" x14ac:dyDescent="0.3">
      <c r="A4" s="123" t="s">
        <v>240</v>
      </c>
      <c r="B4" s="124" t="s">
        <v>241</v>
      </c>
      <c r="C4" s="124" t="s">
        <v>242</v>
      </c>
      <c r="D4" s="124" t="s">
        <v>243</v>
      </c>
      <c r="E4" s="124" t="s">
        <v>244</v>
      </c>
      <c r="F4" s="124" t="s">
        <v>243</v>
      </c>
      <c r="G4" s="124" t="s">
        <v>245</v>
      </c>
      <c r="H4" s="124" t="s">
        <v>246</v>
      </c>
      <c r="I4" s="124" t="s">
        <v>247</v>
      </c>
      <c r="J4" s="124" t="s">
        <v>248</v>
      </c>
      <c r="K4" s="124" t="s">
        <v>249</v>
      </c>
      <c r="L4" s="125" t="s">
        <v>250</v>
      </c>
      <c r="M4" s="126" t="s">
        <v>373</v>
      </c>
      <c r="N4" s="125" t="s">
        <v>252</v>
      </c>
      <c r="O4" s="126" t="s">
        <v>404</v>
      </c>
      <c r="P4" s="128" t="s">
        <v>387</v>
      </c>
      <c r="Q4" s="128" t="s">
        <v>388</v>
      </c>
      <c r="R4" s="128" t="s">
        <v>402</v>
      </c>
      <c r="S4" s="125" t="s">
        <v>253</v>
      </c>
      <c r="T4" s="126" t="s">
        <v>405</v>
      </c>
      <c r="U4" s="128" t="s">
        <v>399</v>
      </c>
      <c r="V4" s="128" t="s">
        <v>401</v>
      </c>
      <c r="W4" s="128" t="s">
        <v>403</v>
      </c>
      <c r="X4" s="125" t="s">
        <v>254</v>
      </c>
      <c r="Y4" s="125" t="s">
        <v>406</v>
      </c>
      <c r="Z4" s="128" t="s">
        <v>411</v>
      </c>
      <c r="AA4" s="128" t="s">
        <v>419</v>
      </c>
      <c r="AB4" s="128" t="s">
        <v>407</v>
      </c>
      <c r="AC4" s="139" t="s">
        <v>408</v>
      </c>
    </row>
    <row r="5" spans="1:29" s="20" customFormat="1" ht="45" x14ac:dyDescent="0.3">
      <c r="A5" s="207">
        <v>1</v>
      </c>
      <c r="B5" s="189" t="s">
        <v>255</v>
      </c>
      <c r="C5" s="189" t="s">
        <v>256</v>
      </c>
      <c r="D5" s="189">
        <v>1</v>
      </c>
      <c r="E5" s="190" t="s">
        <v>0</v>
      </c>
      <c r="F5" s="189">
        <v>1</v>
      </c>
      <c r="G5" s="189" t="s">
        <v>257</v>
      </c>
      <c r="H5" s="158" t="s">
        <v>258</v>
      </c>
      <c r="I5" s="159" t="s">
        <v>1</v>
      </c>
      <c r="J5" s="157" t="s">
        <v>259</v>
      </c>
      <c r="K5" s="157">
        <v>1</v>
      </c>
      <c r="L5" s="157" t="s">
        <v>260</v>
      </c>
      <c r="M5" s="18" t="s">
        <v>259</v>
      </c>
      <c r="N5" s="18" t="s">
        <v>260</v>
      </c>
      <c r="O5" s="18" t="s">
        <v>259</v>
      </c>
      <c r="P5" s="18" t="s">
        <v>259</v>
      </c>
      <c r="Q5" s="18" t="s">
        <v>259</v>
      </c>
      <c r="R5" s="18" t="s">
        <v>259</v>
      </c>
      <c r="S5" s="18" t="s">
        <v>260</v>
      </c>
      <c r="T5" s="18" t="s">
        <v>259</v>
      </c>
      <c r="U5" s="18" t="s">
        <v>259</v>
      </c>
      <c r="V5" s="18" t="s">
        <v>259</v>
      </c>
      <c r="W5" s="18" t="s">
        <v>259</v>
      </c>
      <c r="X5" s="18">
        <v>1</v>
      </c>
      <c r="Y5" s="18">
        <v>0</v>
      </c>
      <c r="Z5" s="181" t="s">
        <v>259</v>
      </c>
      <c r="AA5" s="74" t="s">
        <v>259</v>
      </c>
      <c r="AB5" s="176" t="s">
        <v>259</v>
      </c>
      <c r="AC5" s="137" t="s">
        <v>409</v>
      </c>
    </row>
    <row r="6" spans="1:29" s="20" customFormat="1" ht="90" x14ac:dyDescent="0.3">
      <c r="A6" s="207"/>
      <c r="B6" s="189"/>
      <c r="C6" s="189"/>
      <c r="D6" s="189"/>
      <c r="E6" s="190"/>
      <c r="F6" s="189"/>
      <c r="G6" s="189"/>
      <c r="H6" s="158" t="s">
        <v>2</v>
      </c>
      <c r="I6" s="159" t="s">
        <v>1</v>
      </c>
      <c r="J6" s="157" t="s">
        <v>259</v>
      </c>
      <c r="K6" s="49">
        <v>0.25</v>
      </c>
      <c r="L6" s="50">
        <v>0.25</v>
      </c>
      <c r="M6" s="50">
        <v>0.25</v>
      </c>
      <c r="N6" s="50">
        <v>0.25</v>
      </c>
      <c r="O6" s="50">
        <v>0.25</v>
      </c>
      <c r="P6" s="50">
        <f>O6/N6</f>
        <v>1</v>
      </c>
      <c r="Q6" s="50">
        <f>O6</f>
        <v>0.25</v>
      </c>
      <c r="R6" s="50">
        <f>Q6/K6</f>
        <v>1</v>
      </c>
      <c r="S6" s="50">
        <v>0.25</v>
      </c>
      <c r="T6" s="185">
        <v>0.23</v>
      </c>
      <c r="U6" s="50">
        <f>T6/S6</f>
        <v>0.92</v>
      </c>
      <c r="V6" s="50">
        <f>T6</f>
        <v>0.23</v>
      </c>
      <c r="W6" s="50">
        <f>T6/K6</f>
        <v>0.92</v>
      </c>
      <c r="X6" s="50">
        <v>0.25</v>
      </c>
      <c r="Y6" s="50">
        <f>2/101</f>
        <v>1.9801980198019802E-2</v>
      </c>
      <c r="Z6" s="182">
        <f>Y6/X6</f>
        <v>7.9207920792079209E-2</v>
      </c>
      <c r="AA6" s="167">
        <f>Y6</f>
        <v>1.9801980198019802E-2</v>
      </c>
      <c r="AB6" s="177">
        <f>AA6/K6</f>
        <v>7.9207920792079209E-2</v>
      </c>
      <c r="AC6" s="137" t="s">
        <v>410</v>
      </c>
    </row>
    <row r="7" spans="1:29" s="20" customFormat="1" ht="120" customHeight="1" x14ac:dyDescent="0.3">
      <c r="A7" s="207"/>
      <c r="B7" s="189"/>
      <c r="C7" s="189"/>
      <c r="D7" s="189"/>
      <c r="E7" s="190"/>
      <c r="F7" s="189"/>
      <c r="G7" s="189"/>
      <c r="H7" s="158" t="s">
        <v>4</v>
      </c>
      <c r="I7" s="159" t="s">
        <v>3</v>
      </c>
      <c r="J7" s="157">
        <v>2</v>
      </c>
      <c r="K7" s="51">
        <v>11</v>
      </c>
      <c r="L7" s="51">
        <v>3</v>
      </c>
      <c r="M7" s="51">
        <v>3</v>
      </c>
      <c r="N7" s="51">
        <v>6</v>
      </c>
      <c r="O7" s="51">
        <v>7</v>
      </c>
      <c r="P7" s="50">
        <f t="shared" ref="P7:P70" si="0">O7/N7</f>
        <v>1.1666666666666667</v>
      </c>
      <c r="Q7" s="51">
        <f>O7</f>
        <v>7</v>
      </c>
      <c r="R7" s="50">
        <f>Q7/K7</f>
        <v>0.63636363636363635</v>
      </c>
      <c r="S7" s="51">
        <v>1</v>
      </c>
      <c r="T7" s="51">
        <v>5</v>
      </c>
      <c r="U7" s="50">
        <f>T7/S7</f>
        <v>5</v>
      </c>
      <c r="V7" s="51">
        <f>T7+Q7</f>
        <v>12</v>
      </c>
      <c r="W7" s="50">
        <f t="shared" ref="W7:W22" si="1">V7/K7</f>
        <v>1.0909090909090908</v>
      </c>
      <c r="X7" s="18" t="s">
        <v>259</v>
      </c>
      <c r="Y7" s="18" t="s">
        <v>259</v>
      </c>
      <c r="Z7" s="181" t="s">
        <v>259</v>
      </c>
      <c r="AA7" s="172">
        <f>V7</f>
        <v>12</v>
      </c>
      <c r="AB7" s="177">
        <f>AA7/K7</f>
        <v>1.0909090909090908</v>
      </c>
      <c r="AC7" s="137" t="s">
        <v>428</v>
      </c>
    </row>
    <row r="8" spans="1:29" s="20" customFormat="1" ht="120" customHeight="1" x14ac:dyDescent="0.3">
      <c r="A8" s="207"/>
      <c r="B8" s="189"/>
      <c r="C8" s="189"/>
      <c r="D8" s="189">
        <v>2</v>
      </c>
      <c r="E8" s="191" t="s">
        <v>262</v>
      </c>
      <c r="F8" s="189">
        <v>2</v>
      </c>
      <c r="G8" s="189" t="s">
        <v>256</v>
      </c>
      <c r="H8" s="158" t="s">
        <v>386</v>
      </c>
      <c r="I8" s="159" t="s">
        <v>5</v>
      </c>
      <c r="J8" s="157" t="s">
        <v>259</v>
      </c>
      <c r="K8" s="157">
        <v>1</v>
      </c>
      <c r="L8" s="157" t="s">
        <v>260</v>
      </c>
      <c r="M8" s="18" t="s">
        <v>259</v>
      </c>
      <c r="N8" s="18" t="s">
        <v>260</v>
      </c>
      <c r="O8" s="18" t="s">
        <v>259</v>
      </c>
      <c r="P8" s="50" t="s">
        <v>259</v>
      </c>
      <c r="Q8" s="50" t="s">
        <v>259</v>
      </c>
      <c r="R8" s="50" t="s">
        <v>259</v>
      </c>
      <c r="S8" s="18">
        <v>1</v>
      </c>
      <c r="T8" s="18">
        <v>1</v>
      </c>
      <c r="U8" s="50">
        <f>T8/S8</f>
        <v>1</v>
      </c>
      <c r="V8" s="133">
        <f>T8</f>
        <v>1</v>
      </c>
      <c r="W8" s="50">
        <f t="shared" si="1"/>
        <v>1</v>
      </c>
      <c r="X8" s="18" t="s">
        <v>259</v>
      </c>
      <c r="Y8" s="18" t="s">
        <v>259</v>
      </c>
      <c r="Z8" s="181" t="s">
        <v>259</v>
      </c>
      <c r="AA8" s="163">
        <f>V8</f>
        <v>1</v>
      </c>
      <c r="AB8" s="177">
        <f>AA8/K8</f>
        <v>1</v>
      </c>
      <c r="AC8" s="173" t="s">
        <v>470</v>
      </c>
    </row>
    <row r="9" spans="1:29" s="20" customFormat="1" ht="120" customHeight="1" x14ac:dyDescent="0.3">
      <c r="A9" s="207"/>
      <c r="B9" s="189"/>
      <c r="C9" s="189"/>
      <c r="D9" s="189"/>
      <c r="E9" s="191"/>
      <c r="F9" s="189"/>
      <c r="G9" s="189"/>
      <c r="H9" s="158" t="s">
        <v>121</v>
      </c>
      <c r="I9" s="159" t="s">
        <v>5</v>
      </c>
      <c r="J9" s="157" t="s">
        <v>259</v>
      </c>
      <c r="K9" s="157">
        <v>3</v>
      </c>
      <c r="L9" s="120">
        <v>0</v>
      </c>
      <c r="M9" s="120">
        <v>0</v>
      </c>
      <c r="N9" s="18">
        <v>1</v>
      </c>
      <c r="O9" s="18">
        <v>7</v>
      </c>
      <c r="P9" s="50">
        <f t="shared" si="0"/>
        <v>7</v>
      </c>
      <c r="Q9" s="133">
        <f>O9</f>
        <v>7</v>
      </c>
      <c r="R9" s="50">
        <f t="shared" ref="R9:R40" si="2">Q9/K9</f>
        <v>2.3333333333333335</v>
      </c>
      <c r="S9" s="18">
        <v>2</v>
      </c>
      <c r="T9" s="133">
        <f>Q9+1</f>
        <v>8</v>
      </c>
      <c r="U9" s="50">
        <f>T9/S9</f>
        <v>4</v>
      </c>
      <c r="V9" s="133">
        <f>T9</f>
        <v>8</v>
      </c>
      <c r="W9" s="50">
        <f t="shared" si="1"/>
        <v>2.6666666666666665</v>
      </c>
      <c r="X9" s="18" t="s">
        <v>259</v>
      </c>
      <c r="Y9" s="18" t="s">
        <v>259</v>
      </c>
      <c r="Z9" s="181" t="s">
        <v>259</v>
      </c>
      <c r="AA9" s="163">
        <f>V9</f>
        <v>8</v>
      </c>
      <c r="AB9" s="179">
        <f>AA9/K9</f>
        <v>2.6666666666666665</v>
      </c>
      <c r="AC9" s="137" t="s">
        <v>428</v>
      </c>
    </row>
    <row r="10" spans="1:29" s="20" customFormat="1" ht="120" customHeight="1" x14ac:dyDescent="0.3">
      <c r="A10" s="207"/>
      <c r="B10" s="189"/>
      <c r="C10" s="189"/>
      <c r="D10" s="189"/>
      <c r="E10" s="191"/>
      <c r="F10" s="189"/>
      <c r="G10" s="189"/>
      <c r="H10" s="158" t="s">
        <v>265</v>
      </c>
      <c r="I10" s="159" t="s">
        <v>124</v>
      </c>
      <c r="J10" s="157" t="s">
        <v>260</v>
      </c>
      <c r="K10" s="52">
        <v>1</v>
      </c>
      <c r="L10" s="52">
        <v>0.25</v>
      </c>
      <c r="M10" s="22">
        <v>0.35</v>
      </c>
      <c r="N10" s="22">
        <v>0.25</v>
      </c>
      <c r="O10" s="22">
        <v>0.25</v>
      </c>
      <c r="P10" s="50">
        <f t="shared" si="0"/>
        <v>1</v>
      </c>
      <c r="Q10" s="50">
        <f>M10+O10</f>
        <v>0.6</v>
      </c>
      <c r="R10" s="50">
        <f t="shared" si="2"/>
        <v>0.6</v>
      </c>
      <c r="S10" s="22">
        <v>0.25</v>
      </c>
      <c r="T10" s="50">
        <v>0.25</v>
      </c>
      <c r="U10" s="50">
        <f>T10/S10</f>
        <v>1</v>
      </c>
      <c r="V10" s="50">
        <f>T10+Q10</f>
        <v>0.85</v>
      </c>
      <c r="W10" s="50">
        <f t="shared" si="1"/>
        <v>0.85</v>
      </c>
      <c r="X10" s="22">
        <v>0.25</v>
      </c>
      <c r="Y10" s="22">
        <v>0</v>
      </c>
      <c r="Z10" s="183">
        <f>Y10/X10</f>
        <v>0</v>
      </c>
      <c r="AA10" s="167">
        <f>V10</f>
        <v>0.85</v>
      </c>
      <c r="AB10" s="177">
        <f>AA10/K10</f>
        <v>0.85</v>
      </c>
      <c r="AC10" s="137" t="s">
        <v>436</v>
      </c>
    </row>
    <row r="11" spans="1:29" s="20" customFormat="1" ht="120" customHeight="1" x14ac:dyDescent="0.3">
      <c r="A11" s="207"/>
      <c r="B11" s="189"/>
      <c r="C11" s="189"/>
      <c r="D11" s="189"/>
      <c r="E11" s="191"/>
      <c r="F11" s="189"/>
      <c r="G11" s="189"/>
      <c r="H11" s="158" t="s">
        <v>267</v>
      </c>
      <c r="I11" s="159" t="s">
        <v>3</v>
      </c>
      <c r="J11" s="157">
        <v>1</v>
      </c>
      <c r="K11" s="51">
        <v>3</v>
      </c>
      <c r="L11" s="157">
        <v>1</v>
      </c>
      <c r="M11" s="18">
        <v>1</v>
      </c>
      <c r="N11" s="24">
        <v>1</v>
      </c>
      <c r="O11" s="24">
        <v>1</v>
      </c>
      <c r="P11" s="50">
        <f t="shared" si="0"/>
        <v>1</v>
      </c>
      <c r="Q11" s="24">
        <v>2</v>
      </c>
      <c r="R11" s="50">
        <f t="shared" si="2"/>
        <v>0.66666666666666663</v>
      </c>
      <c r="S11" s="24">
        <v>0</v>
      </c>
      <c r="T11" s="24">
        <v>5</v>
      </c>
      <c r="U11" s="50" t="s">
        <v>259</v>
      </c>
      <c r="V11" s="24">
        <f>T11+Q11</f>
        <v>7</v>
      </c>
      <c r="W11" s="50">
        <f t="shared" si="1"/>
        <v>2.3333333333333335</v>
      </c>
      <c r="X11" s="24">
        <v>1</v>
      </c>
      <c r="Y11" s="24">
        <v>0</v>
      </c>
      <c r="Z11" s="181">
        <f>Y11/X11</f>
        <v>0</v>
      </c>
      <c r="AA11" s="174">
        <f>V11</f>
        <v>7</v>
      </c>
      <c r="AB11" s="177">
        <f>AA11/K11</f>
        <v>2.3333333333333335</v>
      </c>
      <c r="AC11" s="137" t="s">
        <v>466</v>
      </c>
    </row>
    <row r="12" spans="1:29" s="20" customFormat="1" ht="120" customHeight="1" x14ac:dyDescent="0.3">
      <c r="A12" s="207"/>
      <c r="B12" s="189"/>
      <c r="C12" s="189"/>
      <c r="D12" s="157">
        <v>3</v>
      </c>
      <c r="E12" s="53" t="s">
        <v>7</v>
      </c>
      <c r="F12" s="157">
        <v>3</v>
      </c>
      <c r="G12" s="157" t="s">
        <v>261</v>
      </c>
      <c r="H12" s="158" t="s">
        <v>268</v>
      </c>
      <c r="I12" s="159" t="s">
        <v>3</v>
      </c>
      <c r="J12" s="157">
        <v>10</v>
      </c>
      <c r="K12" s="157">
        <v>14</v>
      </c>
      <c r="L12" s="157">
        <v>1</v>
      </c>
      <c r="M12" s="18">
        <v>4</v>
      </c>
      <c r="N12" s="18">
        <v>14</v>
      </c>
      <c r="O12" s="18">
        <v>14</v>
      </c>
      <c r="P12" s="50">
        <f t="shared" si="0"/>
        <v>1</v>
      </c>
      <c r="Q12" s="133">
        <f t="shared" ref="Q12:Q18" si="3">O12</f>
        <v>14</v>
      </c>
      <c r="R12" s="50">
        <f t="shared" si="2"/>
        <v>1</v>
      </c>
      <c r="S12" s="18">
        <v>14</v>
      </c>
      <c r="T12" s="133">
        <v>14</v>
      </c>
      <c r="U12" s="50">
        <f>T12/S12</f>
        <v>1</v>
      </c>
      <c r="V12" s="133">
        <f>T12</f>
        <v>14</v>
      </c>
      <c r="W12" s="50">
        <f t="shared" si="1"/>
        <v>1</v>
      </c>
      <c r="X12" s="18">
        <v>14</v>
      </c>
      <c r="Y12" s="18">
        <v>14</v>
      </c>
      <c r="Z12" s="131">
        <f>Y12/X12</f>
        <v>1</v>
      </c>
      <c r="AA12" s="163">
        <f>Y12</f>
        <v>14</v>
      </c>
      <c r="AB12" s="179">
        <f>AA12/K12</f>
        <v>1</v>
      </c>
      <c r="AC12" s="137" t="s">
        <v>439</v>
      </c>
    </row>
    <row r="13" spans="1:29" s="20" customFormat="1" ht="120" customHeight="1" x14ac:dyDescent="0.3">
      <c r="A13" s="207">
        <v>2</v>
      </c>
      <c r="B13" s="189" t="s">
        <v>270</v>
      </c>
      <c r="C13" s="189" t="s">
        <v>271</v>
      </c>
      <c r="D13" s="189">
        <v>1</v>
      </c>
      <c r="E13" s="190" t="s">
        <v>272</v>
      </c>
      <c r="F13" s="189">
        <v>1</v>
      </c>
      <c r="G13" s="189" t="s">
        <v>273</v>
      </c>
      <c r="H13" s="158" t="s">
        <v>274</v>
      </c>
      <c r="I13" s="159" t="s">
        <v>10</v>
      </c>
      <c r="J13" s="49">
        <v>0.93</v>
      </c>
      <c r="K13" s="49">
        <v>1</v>
      </c>
      <c r="L13" s="52">
        <v>0.93</v>
      </c>
      <c r="M13" s="22">
        <v>0.93</v>
      </c>
      <c r="N13" s="22">
        <v>0.96</v>
      </c>
      <c r="O13" s="22">
        <v>0.96</v>
      </c>
      <c r="P13" s="50">
        <f t="shared" si="0"/>
        <v>1</v>
      </c>
      <c r="Q13" s="50">
        <f t="shared" si="3"/>
        <v>0.96</v>
      </c>
      <c r="R13" s="50">
        <f t="shared" si="2"/>
        <v>0.96</v>
      </c>
      <c r="S13" s="22">
        <v>0.98</v>
      </c>
      <c r="T13" s="185">
        <v>0.98140000000000005</v>
      </c>
      <c r="U13" s="50">
        <f>T13/S13</f>
        <v>1.0014285714285716</v>
      </c>
      <c r="V13" s="50">
        <f>T13</f>
        <v>0.98140000000000005</v>
      </c>
      <c r="W13" s="50">
        <f t="shared" si="1"/>
        <v>0.98140000000000005</v>
      </c>
      <c r="X13" s="22">
        <v>1</v>
      </c>
      <c r="Y13" s="22">
        <v>0.98499999999999999</v>
      </c>
      <c r="Z13" s="183">
        <f>Y13/X13</f>
        <v>0.98499999999999999</v>
      </c>
      <c r="AA13" s="156">
        <f>Y13</f>
        <v>0.98499999999999999</v>
      </c>
      <c r="AB13" s="178">
        <f>AA13/K13</f>
        <v>0.98499999999999999</v>
      </c>
      <c r="AC13" s="137" t="s">
        <v>426</v>
      </c>
    </row>
    <row r="14" spans="1:29" s="20" customFormat="1" ht="120" customHeight="1" x14ac:dyDescent="0.3">
      <c r="A14" s="207"/>
      <c r="B14" s="189"/>
      <c r="C14" s="189"/>
      <c r="D14" s="189"/>
      <c r="E14" s="190"/>
      <c r="F14" s="189"/>
      <c r="G14" s="189"/>
      <c r="H14" s="158" t="s">
        <v>379</v>
      </c>
      <c r="I14" s="159" t="s">
        <v>10</v>
      </c>
      <c r="J14" s="157">
        <v>211</v>
      </c>
      <c r="K14" s="54">
        <v>11567</v>
      </c>
      <c r="L14" s="55">
        <v>2711</v>
      </c>
      <c r="M14" s="27">
        <v>3102</v>
      </c>
      <c r="N14" s="27">
        <v>5211</v>
      </c>
      <c r="O14" s="27">
        <v>7754</v>
      </c>
      <c r="P14" s="50">
        <f t="shared" si="0"/>
        <v>1.4880061408558818</v>
      </c>
      <c r="Q14" s="133">
        <f t="shared" si="3"/>
        <v>7754</v>
      </c>
      <c r="R14" s="50">
        <f t="shared" si="2"/>
        <v>0.67035532117230046</v>
      </c>
      <c r="S14" s="27">
        <v>10067</v>
      </c>
      <c r="T14" s="133">
        <v>10639</v>
      </c>
      <c r="U14" s="50">
        <f>T14/S14</f>
        <v>1.0568193106188537</v>
      </c>
      <c r="V14" s="133">
        <f>T14</f>
        <v>10639</v>
      </c>
      <c r="W14" s="50">
        <f t="shared" si="1"/>
        <v>0.9197717645024639</v>
      </c>
      <c r="X14" s="27">
        <v>11567</v>
      </c>
      <c r="Y14" s="27">
        <v>10741</v>
      </c>
      <c r="Z14" s="183">
        <f>Y14/X14</f>
        <v>0.92858995417999479</v>
      </c>
      <c r="AA14" s="163">
        <f>Y14</f>
        <v>10741</v>
      </c>
      <c r="AB14" s="178">
        <f>AA14/K14</f>
        <v>0.92858995417999479</v>
      </c>
      <c r="AC14" s="137" t="s">
        <v>427</v>
      </c>
    </row>
    <row r="15" spans="1:29" s="20" customFormat="1" ht="120" customHeight="1" x14ac:dyDescent="0.3">
      <c r="A15" s="207"/>
      <c r="B15" s="189"/>
      <c r="C15" s="189"/>
      <c r="D15" s="189"/>
      <c r="E15" s="190"/>
      <c r="F15" s="189"/>
      <c r="G15" s="189"/>
      <c r="H15" s="158" t="s">
        <v>128</v>
      </c>
      <c r="I15" s="159" t="s">
        <v>10</v>
      </c>
      <c r="J15" s="157">
        <v>1063</v>
      </c>
      <c r="K15" s="157">
        <v>1134</v>
      </c>
      <c r="L15" s="120">
        <v>0</v>
      </c>
      <c r="M15" s="120">
        <v>0</v>
      </c>
      <c r="N15" s="27">
        <v>1134</v>
      </c>
      <c r="O15" s="27">
        <v>1130</v>
      </c>
      <c r="P15" s="50">
        <f t="shared" si="0"/>
        <v>0.99647266313932981</v>
      </c>
      <c r="Q15" s="133">
        <f t="shared" si="3"/>
        <v>1130</v>
      </c>
      <c r="R15" s="50">
        <f t="shared" si="2"/>
        <v>0.99647266313932981</v>
      </c>
      <c r="S15" s="27" t="s">
        <v>259</v>
      </c>
      <c r="T15" s="133" t="s">
        <v>259</v>
      </c>
      <c r="U15" s="50">
        <v>1</v>
      </c>
      <c r="V15" s="133">
        <f>Q15</f>
        <v>1130</v>
      </c>
      <c r="W15" s="50">
        <f t="shared" si="1"/>
        <v>0.99647266313932981</v>
      </c>
      <c r="X15" s="27">
        <v>0</v>
      </c>
      <c r="Y15" s="27" t="s">
        <v>259</v>
      </c>
      <c r="Z15" s="181" t="s">
        <v>259</v>
      </c>
      <c r="AA15" s="74" t="s">
        <v>259</v>
      </c>
      <c r="AB15" s="177">
        <f>W15</f>
        <v>0.99647266313932981</v>
      </c>
      <c r="AC15" s="137" t="s">
        <v>400</v>
      </c>
    </row>
    <row r="16" spans="1:29" s="20" customFormat="1" ht="120" customHeight="1" x14ac:dyDescent="0.3">
      <c r="A16" s="207"/>
      <c r="B16" s="189"/>
      <c r="C16" s="189"/>
      <c r="D16" s="189">
        <v>3</v>
      </c>
      <c r="E16" s="191" t="s">
        <v>275</v>
      </c>
      <c r="F16" s="189">
        <v>3</v>
      </c>
      <c r="G16" s="189" t="s">
        <v>276</v>
      </c>
      <c r="H16" s="158" t="s">
        <v>378</v>
      </c>
      <c r="I16" s="159" t="s">
        <v>383</v>
      </c>
      <c r="J16" s="157">
        <v>11</v>
      </c>
      <c r="K16" s="157">
        <v>24</v>
      </c>
      <c r="L16" s="157">
        <v>16</v>
      </c>
      <c r="M16" s="18">
        <v>17</v>
      </c>
      <c r="N16" s="18">
        <v>21</v>
      </c>
      <c r="O16" s="18">
        <v>21</v>
      </c>
      <c r="P16" s="50">
        <f t="shared" si="0"/>
        <v>1</v>
      </c>
      <c r="Q16" s="133">
        <f t="shared" si="3"/>
        <v>21</v>
      </c>
      <c r="R16" s="50">
        <f t="shared" si="2"/>
        <v>0.875</v>
      </c>
      <c r="S16" s="18">
        <v>22</v>
      </c>
      <c r="T16" s="133">
        <v>34</v>
      </c>
      <c r="U16" s="50">
        <f>T16/S16</f>
        <v>1.5454545454545454</v>
      </c>
      <c r="V16" s="133">
        <f>T16</f>
        <v>34</v>
      </c>
      <c r="W16" s="50">
        <f t="shared" si="1"/>
        <v>1.4166666666666667</v>
      </c>
      <c r="X16" s="18">
        <v>24</v>
      </c>
      <c r="Y16" s="18">
        <v>34</v>
      </c>
      <c r="Z16" s="131">
        <f>Y16/X16</f>
        <v>1.4166666666666667</v>
      </c>
      <c r="AA16" s="163">
        <f>Y16</f>
        <v>34</v>
      </c>
      <c r="AB16" s="179">
        <f>AA16/K16</f>
        <v>1.4166666666666667</v>
      </c>
      <c r="AC16" s="137" t="s">
        <v>467</v>
      </c>
    </row>
    <row r="17" spans="1:31" s="20" customFormat="1" ht="120" customHeight="1" x14ac:dyDescent="0.3">
      <c r="A17" s="207"/>
      <c r="B17" s="189"/>
      <c r="C17" s="189"/>
      <c r="D17" s="189"/>
      <c r="E17" s="191"/>
      <c r="F17" s="189"/>
      <c r="G17" s="189"/>
      <c r="H17" s="158" t="s">
        <v>14</v>
      </c>
      <c r="I17" s="159" t="s">
        <v>383</v>
      </c>
      <c r="J17" s="157">
        <v>7</v>
      </c>
      <c r="K17" s="157">
        <v>40</v>
      </c>
      <c r="L17" s="157">
        <v>8</v>
      </c>
      <c r="M17" s="18">
        <v>10</v>
      </c>
      <c r="N17" s="18">
        <v>24</v>
      </c>
      <c r="O17" s="18">
        <v>22</v>
      </c>
      <c r="P17" s="50">
        <f t="shared" si="0"/>
        <v>0.91666666666666663</v>
      </c>
      <c r="Q17" s="133">
        <f t="shared" si="3"/>
        <v>22</v>
      </c>
      <c r="R17" s="50">
        <f t="shared" si="2"/>
        <v>0.55000000000000004</v>
      </c>
      <c r="S17" s="18">
        <v>32</v>
      </c>
      <c r="T17" s="133">
        <v>32</v>
      </c>
      <c r="U17" s="50">
        <f>T17/S17</f>
        <v>1</v>
      </c>
      <c r="V17" s="133">
        <f>T17</f>
        <v>32</v>
      </c>
      <c r="W17" s="50">
        <f t="shared" si="1"/>
        <v>0.8</v>
      </c>
      <c r="X17" s="18">
        <v>40</v>
      </c>
      <c r="Y17" s="18">
        <v>0</v>
      </c>
      <c r="Z17" s="131">
        <f>Y17/X17</f>
        <v>0</v>
      </c>
      <c r="AA17" s="163">
        <f>V17</f>
        <v>32</v>
      </c>
      <c r="AB17" s="179">
        <f>AA17/K17</f>
        <v>0.8</v>
      </c>
      <c r="AC17" s="137" t="s">
        <v>468</v>
      </c>
    </row>
    <row r="18" spans="1:31" s="20" customFormat="1" ht="150" x14ac:dyDescent="0.3">
      <c r="A18" s="207"/>
      <c r="B18" s="189"/>
      <c r="C18" s="189"/>
      <c r="D18" s="189"/>
      <c r="E18" s="191"/>
      <c r="F18" s="189"/>
      <c r="G18" s="189"/>
      <c r="H18" s="158" t="s">
        <v>377</v>
      </c>
      <c r="I18" s="159" t="s">
        <v>12</v>
      </c>
      <c r="J18" s="157" t="s">
        <v>279</v>
      </c>
      <c r="K18" s="157">
        <v>1</v>
      </c>
      <c r="L18" s="157">
        <v>0</v>
      </c>
      <c r="M18" s="18">
        <v>0</v>
      </c>
      <c r="N18" s="18">
        <v>1</v>
      </c>
      <c r="O18" s="18">
        <v>1</v>
      </c>
      <c r="P18" s="50">
        <f t="shared" si="0"/>
        <v>1</v>
      </c>
      <c r="Q18" s="133">
        <f t="shared" si="3"/>
        <v>1</v>
      </c>
      <c r="R18" s="50">
        <f t="shared" si="2"/>
        <v>1</v>
      </c>
      <c r="S18" s="18">
        <v>0</v>
      </c>
      <c r="T18" s="133">
        <v>0</v>
      </c>
      <c r="U18" s="50">
        <f>P18</f>
        <v>1</v>
      </c>
      <c r="V18" s="133">
        <f>Q18</f>
        <v>1</v>
      </c>
      <c r="W18" s="50">
        <f t="shared" si="1"/>
        <v>1</v>
      </c>
      <c r="X18" s="18">
        <v>0</v>
      </c>
      <c r="Y18" s="18" t="s">
        <v>259</v>
      </c>
      <c r="Z18" s="181" t="s">
        <v>259</v>
      </c>
      <c r="AA18" s="163">
        <f>V18</f>
        <v>1</v>
      </c>
      <c r="AB18" s="180">
        <f>W18</f>
        <v>1</v>
      </c>
      <c r="AC18" s="137" t="s">
        <v>414</v>
      </c>
    </row>
    <row r="19" spans="1:31" s="20" customFormat="1" ht="120" customHeight="1" x14ac:dyDescent="0.3">
      <c r="A19" s="207"/>
      <c r="B19" s="189"/>
      <c r="C19" s="189"/>
      <c r="D19" s="189">
        <v>4</v>
      </c>
      <c r="E19" s="190" t="s">
        <v>280</v>
      </c>
      <c r="F19" s="189">
        <v>4</v>
      </c>
      <c r="G19" s="157" t="s">
        <v>281</v>
      </c>
      <c r="H19" s="158" t="s">
        <v>384</v>
      </c>
      <c r="I19" s="159" t="s">
        <v>3</v>
      </c>
      <c r="J19" s="157" t="s">
        <v>260</v>
      </c>
      <c r="K19" s="157">
        <v>17</v>
      </c>
      <c r="L19" s="157">
        <v>3</v>
      </c>
      <c r="M19" s="18">
        <v>7</v>
      </c>
      <c r="N19" s="18">
        <v>3</v>
      </c>
      <c r="O19" s="18">
        <v>2</v>
      </c>
      <c r="P19" s="50">
        <f t="shared" si="0"/>
        <v>0.66666666666666663</v>
      </c>
      <c r="Q19" s="133">
        <f>O19+M19</f>
        <v>9</v>
      </c>
      <c r="R19" s="50">
        <f t="shared" si="2"/>
        <v>0.52941176470588236</v>
      </c>
      <c r="S19" s="18">
        <v>11</v>
      </c>
      <c r="T19" s="133">
        <v>3</v>
      </c>
      <c r="U19" s="50">
        <f>T19/S19</f>
        <v>0.27272727272727271</v>
      </c>
      <c r="V19" s="133">
        <f>T19+Q19</f>
        <v>12</v>
      </c>
      <c r="W19" s="50">
        <f t="shared" si="1"/>
        <v>0.70588235294117652</v>
      </c>
      <c r="X19" s="18">
        <v>0</v>
      </c>
      <c r="Y19" s="18">
        <v>1</v>
      </c>
      <c r="Z19" s="181" t="s">
        <v>259</v>
      </c>
      <c r="AA19" s="163">
        <f>Y19+V19</f>
        <v>13</v>
      </c>
      <c r="AB19" s="179">
        <f>AA19/K19</f>
        <v>0.76470588235294112</v>
      </c>
      <c r="AC19" s="137" t="s">
        <v>440</v>
      </c>
    </row>
    <row r="20" spans="1:31" s="20" customFormat="1" ht="120" customHeight="1" x14ac:dyDescent="0.3">
      <c r="A20" s="207"/>
      <c r="B20" s="189"/>
      <c r="C20" s="189"/>
      <c r="D20" s="189"/>
      <c r="E20" s="190"/>
      <c r="F20" s="189"/>
      <c r="G20" s="157" t="s">
        <v>281</v>
      </c>
      <c r="H20" s="158" t="s">
        <v>16</v>
      </c>
      <c r="I20" s="159" t="s">
        <v>3</v>
      </c>
      <c r="J20" s="157" t="s">
        <v>260</v>
      </c>
      <c r="K20" s="157">
        <v>71</v>
      </c>
      <c r="L20" s="157">
        <v>0</v>
      </c>
      <c r="M20" s="18">
        <v>4</v>
      </c>
      <c r="N20" s="18">
        <v>25</v>
      </c>
      <c r="O20" s="18">
        <v>39</v>
      </c>
      <c r="P20" s="50">
        <f t="shared" si="0"/>
        <v>1.56</v>
      </c>
      <c r="Q20" s="133">
        <f>O20+M20</f>
        <v>43</v>
      </c>
      <c r="R20" s="50">
        <f t="shared" si="2"/>
        <v>0.60563380281690138</v>
      </c>
      <c r="S20" s="18">
        <v>46</v>
      </c>
      <c r="T20" s="133">
        <v>44</v>
      </c>
      <c r="U20" s="50">
        <f>T20/S20</f>
        <v>0.95652173913043481</v>
      </c>
      <c r="V20" s="133">
        <f>T20+Q20</f>
        <v>87</v>
      </c>
      <c r="W20" s="50">
        <f t="shared" si="1"/>
        <v>1.2253521126760563</v>
      </c>
      <c r="X20" s="18" t="s">
        <v>259</v>
      </c>
      <c r="Y20" s="18" t="s">
        <v>259</v>
      </c>
      <c r="Z20" s="181" t="s">
        <v>259</v>
      </c>
      <c r="AA20" s="163">
        <f>V20</f>
        <v>87</v>
      </c>
      <c r="AB20" s="179">
        <f>AA20/K20</f>
        <v>1.2253521126760563</v>
      </c>
      <c r="AC20" s="137" t="s">
        <v>428</v>
      </c>
    </row>
    <row r="21" spans="1:31" s="20" customFormat="1" ht="120" customHeight="1" x14ac:dyDescent="0.3">
      <c r="A21" s="207"/>
      <c r="B21" s="189"/>
      <c r="C21" s="189"/>
      <c r="D21" s="157">
        <v>5</v>
      </c>
      <c r="E21" s="158" t="s">
        <v>17</v>
      </c>
      <c r="F21" s="157">
        <v>5</v>
      </c>
      <c r="G21" s="157" t="s">
        <v>283</v>
      </c>
      <c r="H21" s="158" t="s">
        <v>18</v>
      </c>
      <c r="I21" s="159" t="s">
        <v>124</v>
      </c>
      <c r="J21" s="49">
        <v>1</v>
      </c>
      <c r="K21" s="49">
        <v>1</v>
      </c>
      <c r="L21" s="49">
        <v>1</v>
      </c>
      <c r="M21" s="21">
        <v>0.56000000000000005</v>
      </c>
      <c r="N21" s="21">
        <v>1</v>
      </c>
      <c r="O21" s="21">
        <v>1</v>
      </c>
      <c r="P21" s="50">
        <f t="shared" si="0"/>
        <v>1</v>
      </c>
      <c r="Q21" s="50">
        <f t="shared" ref="Q21:Q31" si="4">O21</f>
        <v>1</v>
      </c>
      <c r="R21" s="50">
        <f t="shared" si="2"/>
        <v>1</v>
      </c>
      <c r="S21" s="21">
        <v>1</v>
      </c>
      <c r="T21" s="50">
        <v>1</v>
      </c>
      <c r="U21" s="50">
        <f>T21/S21</f>
        <v>1</v>
      </c>
      <c r="V21" s="50">
        <f t="shared" ref="V21:V31" si="5">T21</f>
        <v>1</v>
      </c>
      <c r="W21" s="50">
        <f t="shared" si="1"/>
        <v>1</v>
      </c>
      <c r="X21" s="21">
        <v>1</v>
      </c>
      <c r="Y21" s="21">
        <v>0</v>
      </c>
      <c r="Z21" s="183">
        <f>Y21/X21</f>
        <v>0</v>
      </c>
      <c r="AA21" s="167">
        <f>V21</f>
        <v>1</v>
      </c>
      <c r="AB21" s="177">
        <f>AA21/K21</f>
        <v>1</v>
      </c>
      <c r="AC21" s="137" t="s">
        <v>437</v>
      </c>
    </row>
    <row r="22" spans="1:31" s="20" customFormat="1" ht="120" customHeight="1" x14ac:dyDescent="0.3">
      <c r="A22" s="218">
        <v>3</v>
      </c>
      <c r="B22" s="219" t="s">
        <v>19</v>
      </c>
      <c r="C22" s="189" t="s">
        <v>256</v>
      </c>
      <c r="D22" s="189">
        <v>1</v>
      </c>
      <c r="E22" s="190" t="s">
        <v>284</v>
      </c>
      <c r="F22" s="189">
        <v>1</v>
      </c>
      <c r="G22" s="189" t="s">
        <v>285</v>
      </c>
      <c r="H22" s="158" t="s">
        <v>134</v>
      </c>
      <c r="I22" s="159" t="s">
        <v>133</v>
      </c>
      <c r="J22" s="157">
        <v>3.8</v>
      </c>
      <c r="K22" s="157">
        <v>4.2</v>
      </c>
      <c r="L22" s="157" t="s">
        <v>259</v>
      </c>
      <c r="M22" s="18">
        <v>0</v>
      </c>
      <c r="N22" s="30">
        <v>4</v>
      </c>
      <c r="O22" s="30">
        <v>3.8</v>
      </c>
      <c r="P22" s="50">
        <f t="shared" si="0"/>
        <v>0.95</v>
      </c>
      <c r="Q22" s="30">
        <f t="shared" si="4"/>
        <v>3.8</v>
      </c>
      <c r="R22" s="50">
        <f t="shared" si="2"/>
        <v>0.90476190476190466</v>
      </c>
      <c r="S22" s="30" t="s">
        <v>259</v>
      </c>
      <c r="T22" s="30">
        <f>Q22</f>
        <v>3.8</v>
      </c>
      <c r="U22" s="50">
        <f t="shared" ref="U22:U23" si="6">T22/K22</f>
        <v>0.90476190476190466</v>
      </c>
      <c r="V22" s="30">
        <f t="shared" si="5"/>
        <v>3.8</v>
      </c>
      <c r="W22" s="50">
        <f t="shared" si="1"/>
        <v>0.90476190476190466</v>
      </c>
      <c r="X22" s="18">
        <v>4.2</v>
      </c>
      <c r="Y22" s="18" t="s">
        <v>259</v>
      </c>
      <c r="Z22" s="181" t="s">
        <v>259</v>
      </c>
      <c r="AA22" s="154">
        <f>T22</f>
        <v>3.8</v>
      </c>
      <c r="AB22" s="129">
        <f>AA22/K22</f>
        <v>0.90476190476190466</v>
      </c>
      <c r="AC22" s="175" t="s">
        <v>415</v>
      </c>
    </row>
    <row r="23" spans="1:31" s="20" customFormat="1" ht="120" customHeight="1" x14ac:dyDescent="0.3">
      <c r="A23" s="218"/>
      <c r="B23" s="219"/>
      <c r="C23" s="189"/>
      <c r="D23" s="189"/>
      <c r="E23" s="190"/>
      <c r="F23" s="189"/>
      <c r="G23" s="189"/>
      <c r="H23" s="158" t="s">
        <v>287</v>
      </c>
      <c r="I23" s="159" t="s">
        <v>133</v>
      </c>
      <c r="J23" s="157">
        <v>4.2</v>
      </c>
      <c r="K23" s="157">
        <v>4.4000000000000004</v>
      </c>
      <c r="L23" s="157" t="s">
        <v>259</v>
      </c>
      <c r="M23" s="18">
        <v>0</v>
      </c>
      <c r="N23" s="30">
        <v>4.3</v>
      </c>
      <c r="O23" s="30">
        <v>3.9</v>
      </c>
      <c r="P23" s="50">
        <f t="shared" si="0"/>
        <v>0.90697674418604657</v>
      </c>
      <c r="Q23" s="30">
        <f t="shared" si="4"/>
        <v>3.9</v>
      </c>
      <c r="R23" s="50">
        <f t="shared" si="2"/>
        <v>0.88636363636363624</v>
      </c>
      <c r="S23" s="30" t="s">
        <v>279</v>
      </c>
      <c r="T23" s="30">
        <f>Q23</f>
        <v>3.9</v>
      </c>
      <c r="U23" s="50">
        <f t="shared" si="6"/>
        <v>0.88636363636363624</v>
      </c>
      <c r="V23" s="30">
        <f t="shared" si="5"/>
        <v>3.9</v>
      </c>
      <c r="W23" s="50">
        <f>V23/K23</f>
        <v>0.88636363636363624</v>
      </c>
      <c r="X23" s="18">
        <v>4.4000000000000004</v>
      </c>
      <c r="Y23" s="18" t="s">
        <v>259</v>
      </c>
      <c r="Z23" s="181" t="s">
        <v>259</v>
      </c>
      <c r="AA23" s="154">
        <f>T23</f>
        <v>3.9</v>
      </c>
      <c r="AB23" s="129">
        <f>AA23/K23</f>
        <v>0.88636363636363624</v>
      </c>
      <c r="AC23" s="175" t="s">
        <v>416</v>
      </c>
    </row>
    <row r="24" spans="1:31" s="20" customFormat="1" ht="75" x14ac:dyDescent="0.3">
      <c r="A24" s="218"/>
      <c r="B24" s="219"/>
      <c r="C24" s="189"/>
      <c r="D24" s="189"/>
      <c r="E24" s="190"/>
      <c r="F24" s="189"/>
      <c r="G24" s="189"/>
      <c r="H24" s="158" t="s">
        <v>21</v>
      </c>
      <c r="I24" s="159" t="s">
        <v>133</v>
      </c>
      <c r="J24" s="54">
        <v>1300</v>
      </c>
      <c r="K24" s="54">
        <v>7300</v>
      </c>
      <c r="L24" s="54">
        <v>2800</v>
      </c>
      <c r="M24" s="26">
        <v>2800</v>
      </c>
      <c r="N24" s="26">
        <v>4300</v>
      </c>
      <c r="O24" s="26">
        <v>4300</v>
      </c>
      <c r="P24" s="50">
        <f t="shared" si="0"/>
        <v>1</v>
      </c>
      <c r="Q24" s="26">
        <f t="shared" si="4"/>
        <v>4300</v>
      </c>
      <c r="R24" s="50">
        <f t="shared" si="2"/>
        <v>0.58904109589041098</v>
      </c>
      <c r="S24" s="26">
        <v>5800</v>
      </c>
      <c r="T24" s="26">
        <v>6197</v>
      </c>
      <c r="U24" s="50">
        <f>(T24-J24)/(S24-J24)</f>
        <v>1.0882222222222222</v>
      </c>
      <c r="V24" s="26">
        <f t="shared" si="5"/>
        <v>6197</v>
      </c>
      <c r="W24" s="50">
        <f>(V24-J24)/(K24-J24)</f>
        <v>0.81616666666666671</v>
      </c>
      <c r="X24" s="26">
        <v>7300</v>
      </c>
      <c r="Y24" s="26">
        <v>6749</v>
      </c>
      <c r="Z24" s="129">
        <f>Y24/X24</f>
        <v>0.92452054794520544</v>
      </c>
      <c r="AA24" s="26">
        <f>Y24</f>
        <v>6749</v>
      </c>
      <c r="AB24" s="129">
        <f>AA24/K24</f>
        <v>0.92452054794520544</v>
      </c>
      <c r="AC24" s="137" t="s">
        <v>417</v>
      </c>
    </row>
    <row r="25" spans="1:31" s="20" customFormat="1" ht="120" customHeight="1" x14ac:dyDescent="0.3">
      <c r="A25" s="218"/>
      <c r="B25" s="219"/>
      <c r="C25" s="189"/>
      <c r="D25" s="189"/>
      <c r="E25" s="190"/>
      <c r="F25" s="189"/>
      <c r="G25" s="189"/>
      <c r="H25" s="158" t="s">
        <v>288</v>
      </c>
      <c r="I25" s="159" t="s">
        <v>124</v>
      </c>
      <c r="J25" s="54">
        <v>970000</v>
      </c>
      <c r="K25" s="54">
        <v>4555000</v>
      </c>
      <c r="L25" s="54">
        <v>750000</v>
      </c>
      <c r="M25" s="26">
        <v>1700038</v>
      </c>
      <c r="N25" s="26">
        <v>2955000</v>
      </c>
      <c r="O25" s="26">
        <v>2980751</v>
      </c>
      <c r="P25" s="50">
        <f t="shared" si="0"/>
        <v>1.0087143824027072</v>
      </c>
      <c r="Q25" s="26">
        <f t="shared" si="4"/>
        <v>2980751</v>
      </c>
      <c r="R25" s="50">
        <f t="shared" si="2"/>
        <v>0.65439099890230512</v>
      </c>
      <c r="S25" s="26">
        <v>3755000</v>
      </c>
      <c r="T25" s="26">
        <v>4018841</v>
      </c>
      <c r="U25" s="50">
        <f>T25/S25</f>
        <v>1.070263914780293</v>
      </c>
      <c r="V25" s="26">
        <f t="shared" si="5"/>
        <v>4018841</v>
      </c>
      <c r="W25" s="50">
        <f>V25/K25</f>
        <v>0.88229220636663008</v>
      </c>
      <c r="X25" s="26">
        <v>4555000</v>
      </c>
      <c r="Y25" s="26">
        <v>4188609</v>
      </c>
      <c r="Z25" s="131">
        <f>Y25/X25</f>
        <v>0.91956289791437984</v>
      </c>
      <c r="AA25" s="155">
        <f>Y25</f>
        <v>4188609</v>
      </c>
      <c r="AB25" s="177">
        <f>AA25/K25</f>
        <v>0.91956289791437984</v>
      </c>
      <c r="AC25" s="137" t="s">
        <v>438</v>
      </c>
    </row>
    <row r="26" spans="1:31" s="20" customFormat="1" ht="120" customHeight="1" x14ac:dyDescent="0.3">
      <c r="A26" s="218"/>
      <c r="B26" s="219"/>
      <c r="C26" s="189"/>
      <c r="D26" s="189"/>
      <c r="E26" s="190"/>
      <c r="F26" s="189"/>
      <c r="G26" s="189"/>
      <c r="H26" s="158" t="s">
        <v>290</v>
      </c>
      <c r="I26" s="159" t="s">
        <v>133</v>
      </c>
      <c r="J26" s="54" t="s">
        <v>259</v>
      </c>
      <c r="K26" s="54">
        <v>1100</v>
      </c>
      <c r="L26" s="54">
        <v>543</v>
      </c>
      <c r="M26" s="26">
        <v>543</v>
      </c>
      <c r="N26" s="26">
        <v>730</v>
      </c>
      <c r="O26" s="26">
        <v>730</v>
      </c>
      <c r="P26" s="50">
        <f t="shared" si="0"/>
        <v>1</v>
      </c>
      <c r="Q26" s="26">
        <f t="shared" si="4"/>
        <v>730</v>
      </c>
      <c r="R26" s="50">
        <f t="shared" si="2"/>
        <v>0.66363636363636369</v>
      </c>
      <c r="S26" s="26">
        <v>915</v>
      </c>
      <c r="T26" s="26">
        <f>Q26+185</f>
        <v>915</v>
      </c>
      <c r="U26" s="50">
        <f>T26/S26</f>
        <v>1</v>
      </c>
      <c r="V26" s="26">
        <f t="shared" si="5"/>
        <v>915</v>
      </c>
      <c r="W26" s="50">
        <f>V26/K26</f>
        <v>0.83181818181818179</v>
      </c>
      <c r="X26" s="26">
        <v>1100</v>
      </c>
      <c r="Y26" s="26">
        <f>V26+25</f>
        <v>940</v>
      </c>
      <c r="Z26" s="129">
        <f>Y26/X26</f>
        <v>0.8545454545454545</v>
      </c>
      <c r="AA26" s="155">
        <f>Y26</f>
        <v>940</v>
      </c>
      <c r="AB26" s="129">
        <f>AA26/K26</f>
        <v>0.8545454545454545</v>
      </c>
      <c r="AC26" s="137" t="s">
        <v>420</v>
      </c>
    </row>
    <row r="27" spans="1:31" s="20" customFormat="1" ht="120" customHeight="1" x14ac:dyDescent="0.3">
      <c r="A27" s="218"/>
      <c r="B27" s="219"/>
      <c r="C27" s="189"/>
      <c r="D27" s="189">
        <v>2</v>
      </c>
      <c r="E27" s="191" t="s">
        <v>23</v>
      </c>
      <c r="F27" s="189">
        <v>2</v>
      </c>
      <c r="G27" s="189" t="s">
        <v>292</v>
      </c>
      <c r="H27" s="158" t="s">
        <v>293</v>
      </c>
      <c r="I27" s="159" t="s">
        <v>5</v>
      </c>
      <c r="J27" s="54">
        <v>8</v>
      </c>
      <c r="K27" s="54">
        <v>32</v>
      </c>
      <c r="L27" s="54">
        <v>16</v>
      </c>
      <c r="M27" s="26">
        <v>16</v>
      </c>
      <c r="N27" s="26">
        <v>24</v>
      </c>
      <c r="O27" s="26">
        <v>45</v>
      </c>
      <c r="P27" s="50">
        <f t="shared" si="0"/>
        <v>1.875</v>
      </c>
      <c r="Q27" s="26">
        <f t="shared" si="4"/>
        <v>45</v>
      </c>
      <c r="R27" s="50">
        <f t="shared" si="2"/>
        <v>1.40625</v>
      </c>
      <c r="S27" s="26">
        <v>29</v>
      </c>
      <c r="T27" s="26">
        <f>Q27+56</f>
        <v>101</v>
      </c>
      <c r="U27" s="50">
        <f>T27/S27</f>
        <v>3.4827586206896552</v>
      </c>
      <c r="V27" s="26">
        <f t="shared" si="5"/>
        <v>101</v>
      </c>
      <c r="W27" s="50">
        <f>V27/K27</f>
        <v>3.15625</v>
      </c>
      <c r="X27" s="26" t="s">
        <v>259</v>
      </c>
      <c r="Y27" s="26" t="s">
        <v>259</v>
      </c>
      <c r="Z27" s="129" t="s">
        <v>259</v>
      </c>
      <c r="AA27" s="155">
        <f>V27</f>
        <v>101</v>
      </c>
      <c r="AB27" s="129">
        <f>AA27/K27</f>
        <v>3.15625</v>
      </c>
      <c r="AC27" s="137" t="s">
        <v>428</v>
      </c>
    </row>
    <row r="28" spans="1:31" s="20" customFormat="1" ht="120" customHeight="1" x14ac:dyDescent="0.3">
      <c r="A28" s="218"/>
      <c r="B28" s="219"/>
      <c r="C28" s="189"/>
      <c r="D28" s="189"/>
      <c r="E28" s="191"/>
      <c r="F28" s="189"/>
      <c r="G28" s="189"/>
      <c r="H28" s="158" t="s">
        <v>24</v>
      </c>
      <c r="I28" s="159" t="s">
        <v>6</v>
      </c>
      <c r="J28" s="54">
        <v>2048</v>
      </c>
      <c r="K28" s="54">
        <v>14296</v>
      </c>
      <c r="L28" s="54">
        <v>4251</v>
      </c>
      <c r="M28" s="26">
        <v>4664</v>
      </c>
      <c r="N28" s="26">
        <v>6571</v>
      </c>
      <c r="O28" s="26">
        <v>7943</v>
      </c>
      <c r="P28" s="50">
        <f t="shared" si="0"/>
        <v>1.2087962258408158</v>
      </c>
      <c r="Q28" s="26">
        <f t="shared" si="4"/>
        <v>7943</v>
      </c>
      <c r="R28" s="50">
        <f t="shared" si="2"/>
        <v>0.55560996082820369</v>
      </c>
      <c r="S28" s="26">
        <v>11734</v>
      </c>
      <c r="T28" s="26">
        <v>13037</v>
      </c>
      <c r="U28" s="50">
        <f>(T28-J28)/(S28-J28)</f>
        <v>1.1345240553376006</v>
      </c>
      <c r="V28" s="26">
        <f t="shared" si="5"/>
        <v>13037</v>
      </c>
      <c r="W28" s="50">
        <f>(V28-J28)/(K28-J28)</f>
        <v>0.89720770738079691</v>
      </c>
      <c r="X28" s="26">
        <v>14296</v>
      </c>
      <c r="Y28" s="26">
        <v>13125</v>
      </c>
      <c r="Z28" s="129">
        <f>Y28/X28</f>
        <v>0.91808897593732508</v>
      </c>
      <c r="AA28" s="26">
        <f>Y28</f>
        <v>13125</v>
      </c>
      <c r="AB28" s="129">
        <f>AA28/K28</f>
        <v>0.91808897593732508</v>
      </c>
      <c r="AC28" s="137" t="s">
        <v>421</v>
      </c>
    </row>
    <row r="29" spans="1:31" s="20" customFormat="1" ht="120" customHeight="1" x14ac:dyDescent="0.3">
      <c r="A29" s="218"/>
      <c r="B29" s="219"/>
      <c r="C29" s="189"/>
      <c r="D29" s="189"/>
      <c r="E29" s="191"/>
      <c r="F29" s="189"/>
      <c r="G29" s="189"/>
      <c r="H29" s="158" t="s">
        <v>295</v>
      </c>
      <c r="I29" s="159" t="s">
        <v>6</v>
      </c>
      <c r="J29" s="54">
        <v>162140</v>
      </c>
      <c r="K29" s="54">
        <v>250000</v>
      </c>
      <c r="L29" s="54">
        <v>201000</v>
      </c>
      <c r="M29" s="26">
        <v>187566</v>
      </c>
      <c r="N29" s="26">
        <v>211000</v>
      </c>
      <c r="O29" s="26">
        <v>212695</v>
      </c>
      <c r="P29" s="50">
        <f t="shared" si="0"/>
        <v>1.0080331753554503</v>
      </c>
      <c r="Q29" s="26">
        <f t="shared" si="4"/>
        <v>212695</v>
      </c>
      <c r="R29" s="50">
        <f t="shared" si="2"/>
        <v>0.85077999999999998</v>
      </c>
      <c r="S29" s="26">
        <v>231000</v>
      </c>
      <c r="T29" s="26">
        <v>243825</v>
      </c>
      <c r="U29" s="50">
        <f>(T29-J29)/(S29-J29)</f>
        <v>1.1862474586116758</v>
      </c>
      <c r="V29" s="26">
        <f t="shared" si="5"/>
        <v>243825</v>
      </c>
      <c r="W29" s="50">
        <f>(V29-J29)/(K29-J29)</f>
        <v>0.92971773275665837</v>
      </c>
      <c r="X29" s="26">
        <v>250000</v>
      </c>
      <c r="Y29" s="26">
        <v>258773</v>
      </c>
      <c r="Z29" s="129">
        <f>Y29/X29</f>
        <v>1.0350919999999999</v>
      </c>
      <c r="AA29" s="26">
        <f>Y29</f>
        <v>258773</v>
      </c>
      <c r="AB29" s="129">
        <f>AA29/K29</f>
        <v>1.0350919999999999</v>
      </c>
      <c r="AC29" s="140" t="s">
        <v>422</v>
      </c>
      <c r="AD29" s="119"/>
      <c r="AE29" s="119"/>
    </row>
    <row r="30" spans="1:31" s="20" customFormat="1" ht="120" customHeight="1" x14ac:dyDescent="0.3">
      <c r="A30" s="218"/>
      <c r="B30" s="219"/>
      <c r="C30" s="189"/>
      <c r="D30" s="189"/>
      <c r="E30" s="191"/>
      <c r="F30" s="189"/>
      <c r="G30" s="189"/>
      <c r="H30" s="158" t="s">
        <v>296</v>
      </c>
      <c r="I30" s="159" t="s">
        <v>382</v>
      </c>
      <c r="J30" s="157">
        <v>217</v>
      </c>
      <c r="K30" s="157">
        <v>317</v>
      </c>
      <c r="L30" s="157">
        <v>4</v>
      </c>
      <c r="M30" s="18">
        <v>16</v>
      </c>
      <c r="N30" s="18">
        <v>76</v>
      </c>
      <c r="O30" s="18">
        <v>76</v>
      </c>
      <c r="P30" s="50">
        <f t="shared" si="0"/>
        <v>1</v>
      </c>
      <c r="Q30" s="133">
        <f t="shared" si="4"/>
        <v>76</v>
      </c>
      <c r="R30" s="50">
        <f t="shared" si="2"/>
        <v>0.23974763406940064</v>
      </c>
      <c r="S30" s="18">
        <v>150</v>
      </c>
      <c r="T30" s="26">
        <f>+Q30+167</f>
        <v>243</v>
      </c>
      <c r="U30" s="50">
        <f>T30/S30</f>
        <v>1.62</v>
      </c>
      <c r="V30" s="26">
        <f t="shared" si="5"/>
        <v>243</v>
      </c>
      <c r="W30" s="50">
        <f t="shared" ref="W30:W39" si="7">V30/K30</f>
        <v>0.7665615141955836</v>
      </c>
      <c r="X30" s="18">
        <v>317</v>
      </c>
      <c r="Y30" s="18">
        <f>V30</f>
        <v>243</v>
      </c>
      <c r="Z30" s="129">
        <f>Y30/X30</f>
        <v>0.7665615141955836</v>
      </c>
      <c r="AA30" s="163">
        <f>Y30</f>
        <v>243</v>
      </c>
      <c r="AB30" s="129">
        <f>AA30/K30</f>
        <v>0.7665615141955836</v>
      </c>
      <c r="AC30" s="137" t="s">
        <v>442</v>
      </c>
    </row>
    <row r="31" spans="1:31" s="20" customFormat="1" ht="120" customHeight="1" x14ac:dyDescent="0.3">
      <c r="A31" s="218"/>
      <c r="B31" s="219"/>
      <c r="C31" s="189"/>
      <c r="D31" s="189"/>
      <c r="E31" s="191"/>
      <c r="F31" s="189"/>
      <c r="G31" s="189"/>
      <c r="H31" s="158" t="s">
        <v>27</v>
      </c>
      <c r="I31" s="159" t="s">
        <v>382</v>
      </c>
      <c r="J31" s="157" t="s">
        <v>279</v>
      </c>
      <c r="K31" s="157">
        <v>41</v>
      </c>
      <c r="L31" s="157">
        <v>10</v>
      </c>
      <c r="M31" s="18">
        <v>10</v>
      </c>
      <c r="N31" s="18">
        <v>20</v>
      </c>
      <c r="O31" s="18">
        <v>20</v>
      </c>
      <c r="P31" s="50">
        <f t="shared" si="0"/>
        <v>1</v>
      </c>
      <c r="Q31" s="133">
        <f t="shared" si="4"/>
        <v>20</v>
      </c>
      <c r="R31" s="50">
        <f t="shared" si="2"/>
        <v>0.48780487804878048</v>
      </c>
      <c r="S31" s="18">
        <v>41</v>
      </c>
      <c r="T31" s="26">
        <f>Q31+21</f>
        <v>41</v>
      </c>
      <c r="U31" s="50">
        <f>T31/S31</f>
        <v>1</v>
      </c>
      <c r="V31" s="26">
        <f t="shared" si="5"/>
        <v>41</v>
      </c>
      <c r="W31" s="50">
        <f t="shared" si="7"/>
        <v>1</v>
      </c>
      <c r="X31" s="18">
        <v>41</v>
      </c>
      <c r="Y31" s="18">
        <f>V31</f>
        <v>41</v>
      </c>
      <c r="Z31" s="129">
        <f>Y31/X31</f>
        <v>1</v>
      </c>
      <c r="AA31" s="163">
        <f>Y31</f>
        <v>41</v>
      </c>
      <c r="AB31" s="129">
        <f>AA31/K31</f>
        <v>1</v>
      </c>
      <c r="AC31" s="137" t="s">
        <v>428</v>
      </c>
    </row>
    <row r="32" spans="1:31" s="20" customFormat="1" ht="120" customHeight="1" x14ac:dyDescent="0.3">
      <c r="A32" s="218"/>
      <c r="B32" s="219"/>
      <c r="C32" s="189"/>
      <c r="D32" s="189"/>
      <c r="E32" s="191"/>
      <c r="F32" s="189"/>
      <c r="G32" s="189"/>
      <c r="H32" s="158" t="s">
        <v>376</v>
      </c>
      <c r="I32" s="159" t="s">
        <v>12</v>
      </c>
      <c r="J32" s="157" t="s">
        <v>279</v>
      </c>
      <c r="K32" s="157">
        <v>1</v>
      </c>
      <c r="L32" s="157">
        <v>1</v>
      </c>
      <c r="M32" s="18">
        <v>1</v>
      </c>
      <c r="N32" s="18">
        <v>0</v>
      </c>
      <c r="O32" s="18">
        <v>0</v>
      </c>
      <c r="P32" s="50" t="s">
        <v>259</v>
      </c>
      <c r="Q32" s="133">
        <f>M32</f>
        <v>1</v>
      </c>
      <c r="R32" s="50">
        <f t="shared" si="2"/>
        <v>1</v>
      </c>
      <c r="S32" s="18">
        <v>0</v>
      </c>
      <c r="T32" s="26" t="s">
        <v>259</v>
      </c>
      <c r="U32" s="50">
        <f>R32</f>
        <v>1</v>
      </c>
      <c r="V32" s="133">
        <f>Q32</f>
        <v>1</v>
      </c>
      <c r="W32" s="50">
        <f t="shared" si="7"/>
        <v>1</v>
      </c>
      <c r="X32" s="18">
        <v>0</v>
      </c>
      <c r="Y32" s="18" t="s">
        <v>259</v>
      </c>
      <c r="Z32" s="129" t="s">
        <v>259</v>
      </c>
      <c r="AA32" s="163">
        <f>V32</f>
        <v>1</v>
      </c>
      <c r="AB32" s="129">
        <f>W32</f>
        <v>1</v>
      </c>
      <c r="AC32" s="137" t="s">
        <v>413</v>
      </c>
    </row>
    <row r="33" spans="1:29" s="20" customFormat="1" ht="120" customHeight="1" x14ac:dyDescent="0.3">
      <c r="A33" s="218"/>
      <c r="B33" s="219"/>
      <c r="C33" s="189"/>
      <c r="D33" s="157">
        <v>3</v>
      </c>
      <c r="E33" s="158" t="s">
        <v>29</v>
      </c>
      <c r="F33" s="157">
        <v>3</v>
      </c>
      <c r="G33" s="157" t="s">
        <v>300</v>
      </c>
      <c r="H33" s="158" t="s">
        <v>30</v>
      </c>
      <c r="I33" s="159" t="s">
        <v>382</v>
      </c>
      <c r="J33" s="54">
        <v>1100000</v>
      </c>
      <c r="K33" s="54">
        <v>5700000</v>
      </c>
      <c r="L33" s="54">
        <v>2000000</v>
      </c>
      <c r="M33" s="26">
        <v>2211031</v>
      </c>
      <c r="N33" s="26">
        <v>3800000</v>
      </c>
      <c r="O33" s="26">
        <v>3836449</v>
      </c>
      <c r="P33" s="50">
        <f t="shared" si="0"/>
        <v>1.0095918421052632</v>
      </c>
      <c r="Q33" s="26">
        <f>O33</f>
        <v>3836449</v>
      </c>
      <c r="R33" s="50">
        <f t="shared" si="2"/>
        <v>0.67306122807017543</v>
      </c>
      <c r="S33" s="26">
        <v>4700000</v>
      </c>
      <c r="T33" s="26">
        <v>4705915</v>
      </c>
      <c r="U33" s="50">
        <f t="shared" ref="U33:U39" si="8">T33/S33</f>
        <v>1.0012585106382978</v>
      </c>
      <c r="V33" s="26">
        <f>T33</f>
        <v>4705915</v>
      </c>
      <c r="W33" s="50">
        <f t="shared" si="7"/>
        <v>0.82559912280701753</v>
      </c>
      <c r="X33" s="26">
        <v>5700000</v>
      </c>
      <c r="Y33" s="26">
        <f>V33+157447</f>
        <v>4863362</v>
      </c>
      <c r="Z33" s="129">
        <f>Y33/X33</f>
        <v>0.85322140350877196</v>
      </c>
      <c r="AA33" s="153">
        <f>Y33</f>
        <v>4863362</v>
      </c>
      <c r="AB33" s="129">
        <f>AA33/K33</f>
        <v>0.85322140350877196</v>
      </c>
      <c r="AC33" s="137" t="s">
        <v>443</v>
      </c>
    </row>
    <row r="34" spans="1:29" s="20" customFormat="1" ht="120" customHeight="1" x14ac:dyDescent="0.3">
      <c r="A34" s="218"/>
      <c r="B34" s="219"/>
      <c r="C34" s="189"/>
      <c r="D34" s="189">
        <v>4</v>
      </c>
      <c r="E34" s="190" t="s">
        <v>31</v>
      </c>
      <c r="F34" s="189">
        <v>4</v>
      </c>
      <c r="G34" s="189" t="s">
        <v>302</v>
      </c>
      <c r="H34" s="158" t="s">
        <v>132</v>
      </c>
      <c r="I34" s="159" t="s">
        <v>382</v>
      </c>
      <c r="J34" s="54" t="s">
        <v>259</v>
      </c>
      <c r="K34" s="54">
        <v>1000</v>
      </c>
      <c r="L34" s="157">
        <v>250</v>
      </c>
      <c r="M34" s="18">
        <v>256</v>
      </c>
      <c r="N34" s="18">
        <v>250</v>
      </c>
      <c r="O34" s="18">
        <v>377</v>
      </c>
      <c r="P34" s="50">
        <f t="shared" si="0"/>
        <v>1.508</v>
      </c>
      <c r="Q34" s="133">
        <f>O34+M34</f>
        <v>633</v>
      </c>
      <c r="R34" s="50">
        <f t="shared" si="2"/>
        <v>0.63300000000000001</v>
      </c>
      <c r="S34" s="18">
        <v>250</v>
      </c>
      <c r="T34" s="26">
        <v>308</v>
      </c>
      <c r="U34" s="50">
        <f t="shared" si="8"/>
        <v>1.232</v>
      </c>
      <c r="V34" s="26">
        <f>T34+Q34</f>
        <v>941</v>
      </c>
      <c r="W34" s="50">
        <f t="shared" si="7"/>
        <v>0.94099999999999995</v>
      </c>
      <c r="X34" s="18">
        <v>250</v>
      </c>
      <c r="Y34" s="18">
        <v>0</v>
      </c>
      <c r="Z34" s="129">
        <f>Y34/X34</f>
        <v>0</v>
      </c>
      <c r="AA34" s="155">
        <f>V34</f>
        <v>941</v>
      </c>
      <c r="AB34" s="129">
        <f>AA34/K34</f>
        <v>0.94099999999999995</v>
      </c>
      <c r="AC34" s="137" t="s">
        <v>444</v>
      </c>
    </row>
    <row r="35" spans="1:29" s="20" customFormat="1" ht="120" customHeight="1" x14ac:dyDescent="0.3">
      <c r="A35" s="218"/>
      <c r="B35" s="219"/>
      <c r="C35" s="189"/>
      <c r="D35" s="189"/>
      <c r="E35" s="190"/>
      <c r="F35" s="189"/>
      <c r="G35" s="189"/>
      <c r="H35" s="158" t="s">
        <v>303</v>
      </c>
      <c r="I35" s="159" t="s">
        <v>32</v>
      </c>
      <c r="J35" s="54">
        <v>40</v>
      </c>
      <c r="K35" s="54">
        <v>200</v>
      </c>
      <c r="L35" s="54">
        <v>80</v>
      </c>
      <c r="M35" s="26">
        <v>104</v>
      </c>
      <c r="N35" s="26">
        <v>120</v>
      </c>
      <c r="O35" s="26">
        <v>125</v>
      </c>
      <c r="P35" s="50">
        <f t="shared" si="0"/>
        <v>1.0416666666666667</v>
      </c>
      <c r="Q35" s="26">
        <f t="shared" ref="Q35:Q40" si="9">O35</f>
        <v>125</v>
      </c>
      <c r="R35" s="50">
        <f t="shared" si="2"/>
        <v>0.625</v>
      </c>
      <c r="S35" s="54">
        <v>160</v>
      </c>
      <c r="T35" s="26">
        <f>Q35+97</f>
        <v>222</v>
      </c>
      <c r="U35" s="50">
        <f t="shared" si="8"/>
        <v>1.3875</v>
      </c>
      <c r="V35" s="26">
        <f t="shared" ref="V35:V40" si="10">T35</f>
        <v>222</v>
      </c>
      <c r="W35" s="50">
        <f t="shared" si="7"/>
        <v>1.1100000000000001</v>
      </c>
      <c r="X35" s="26">
        <v>200</v>
      </c>
      <c r="Y35" s="26">
        <f>V35+11</f>
        <v>233</v>
      </c>
      <c r="Z35" s="129">
        <f>Y35/X35</f>
        <v>1.165</v>
      </c>
      <c r="AA35" s="155">
        <f>Y35</f>
        <v>233</v>
      </c>
      <c r="AB35" s="129">
        <f>AA35/K35</f>
        <v>1.165</v>
      </c>
      <c r="AC35" s="137" t="s">
        <v>445</v>
      </c>
    </row>
    <row r="36" spans="1:29" s="20" customFormat="1" ht="120" customHeight="1" x14ac:dyDescent="0.3">
      <c r="A36" s="218"/>
      <c r="B36" s="219"/>
      <c r="C36" s="189"/>
      <c r="D36" s="189"/>
      <c r="E36" s="190"/>
      <c r="F36" s="189"/>
      <c r="G36" s="189"/>
      <c r="H36" s="158" t="s">
        <v>304</v>
      </c>
      <c r="I36" s="159" t="s">
        <v>87</v>
      </c>
      <c r="J36" s="54">
        <v>130</v>
      </c>
      <c r="K36" s="54">
        <v>530</v>
      </c>
      <c r="L36" s="157">
        <v>230</v>
      </c>
      <c r="M36" s="18">
        <v>263</v>
      </c>
      <c r="N36" s="18">
        <v>330</v>
      </c>
      <c r="O36" s="18">
        <v>364</v>
      </c>
      <c r="P36" s="50">
        <f t="shared" si="0"/>
        <v>1.103030303030303</v>
      </c>
      <c r="Q36" s="133">
        <f t="shared" si="9"/>
        <v>364</v>
      </c>
      <c r="R36" s="50">
        <f t="shared" si="2"/>
        <v>0.68679245283018864</v>
      </c>
      <c r="S36" s="18">
        <v>430</v>
      </c>
      <c r="T36" s="26">
        <f>Q36+125</f>
        <v>489</v>
      </c>
      <c r="U36" s="50">
        <f t="shared" si="8"/>
        <v>1.1372093023255814</v>
      </c>
      <c r="V36" s="26">
        <f t="shared" si="10"/>
        <v>489</v>
      </c>
      <c r="W36" s="50">
        <f t="shared" si="7"/>
        <v>0.92264150943396228</v>
      </c>
      <c r="X36" s="18">
        <v>530</v>
      </c>
      <c r="Y36" s="18">
        <f>V36+16</f>
        <v>505</v>
      </c>
      <c r="Z36" s="129">
        <f>Y36/X36</f>
        <v>0.95283018867924529</v>
      </c>
      <c r="AA36" s="155">
        <f>Y36</f>
        <v>505</v>
      </c>
      <c r="AB36" s="129">
        <f>AA36/K36</f>
        <v>0.95283018867924529</v>
      </c>
      <c r="AC36" s="137" t="s">
        <v>471</v>
      </c>
    </row>
    <row r="37" spans="1:29" s="20" customFormat="1" ht="120" customHeight="1" x14ac:dyDescent="0.3">
      <c r="A37" s="207">
        <v>4</v>
      </c>
      <c r="B37" s="189" t="s">
        <v>34</v>
      </c>
      <c r="C37" s="189" t="s">
        <v>256</v>
      </c>
      <c r="D37" s="157">
        <v>1</v>
      </c>
      <c r="E37" s="157" t="s">
        <v>306</v>
      </c>
      <c r="F37" s="157">
        <v>1</v>
      </c>
      <c r="G37" s="157" t="s">
        <v>281</v>
      </c>
      <c r="H37" s="158" t="s">
        <v>35</v>
      </c>
      <c r="I37" s="159" t="s">
        <v>3</v>
      </c>
      <c r="J37" s="157" t="s">
        <v>279</v>
      </c>
      <c r="K37" s="157">
        <v>6</v>
      </c>
      <c r="L37" s="157">
        <v>3</v>
      </c>
      <c r="M37" s="18">
        <v>2</v>
      </c>
      <c r="N37" s="18">
        <v>5</v>
      </c>
      <c r="O37" s="18">
        <v>5</v>
      </c>
      <c r="P37" s="50">
        <f t="shared" si="0"/>
        <v>1</v>
      </c>
      <c r="Q37" s="133">
        <f t="shared" si="9"/>
        <v>5</v>
      </c>
      <c r="R37" s="50">
        <f t="shared" si="2"/>
        <v>0.83333333333333337</v>
      </c>
      <c r="S37" s="18">
        <v>6</v>
      </c>
      <c r="T37" s="26">
        <v>6</v>
      </c>
      <c r="U37" s="50">
        <f t="shared" si="8"/>
        <v>1</v>
      </c>
      <c r="V37" s="26">
        <f t="shared" si="10"/>
        <v>6</v>
      </c>
      <c r="W37" s="50">
        <f t="shared" si="7"/>
        <v>1</v>
      </c>
      <c r="X37" s="18" t="s">
        <v>259</v>
      </c>
      <c r="Y37" s="18" t="s">
        <v>259</v>
      </c>
      <c r="Z37" s="129" t="s">
        <v>259</v>
      </c>
      <c r="AA37" s="155">
        <f>V37</f>
        <v>6</v>
      </c>
      <c r="AB37" s="179">
        <f>AA37/K37</f>
        <v>1</v>
      </c>
      <c r="AC37" s="137" t="s">
        <v>428</v>
      </c>
    </row>
    <row r="38" spans="1:29" s="20" customFormat="1" ht="120" customHeight="1" x14ac:dyDescent="0.3">
      <c r="A38" s="207"/>
      <c r="B38" s="189"/>
      <c r="C38" s="189"/>
      <c r="D38" s="189">
        <v>2</v>
      </c>
      <c r="E38" s="190" t="s">
        <v>308</v>
      </c>
      <c r="F38" s="189">
        <v>2</v>
      </c>
      <c r="G38" s="157" t="s">
        <v>309</v>
      </c>
      <c r="H38" s="158" t="s">
        <v>37</v>
      </c>
      <c r="I38" s="159" t="s">
        <v>36</v>
      </c>
      <c r="J38" s="157" t="s">
        <v>260</v>
      </c>
      <c r="K38" s="56">
        <v>40000000000</v>
      </c>
      <c r="L38" s="56">
        <v>10000000000</v>
      </c>
      <c r="M38" s="32">
        <v>11359904293</v>
      </c>
      <c r="N38" s="32">
        <v>20000000000</v>
      </c>
      <c r="O38" s="32">
        <v>21607789924</v>
      </c>
      <c r="P38" s="50">
        <f t="shared" si="0"/>
        <v>1.0803894962</v>
      </c>
      <c r="Q38" s="32">
        <f t="shared" si="9"/>
        <v>21607789924</v>
      </c>
      <c r="R38" s="50">
        <f t="shared" si="2"/>
        <v>0.54019474810000001</v>
      </c>
      <c r="S38" s="32">
        <v>30000000000</v>
      </c>
      <c r="T38" s="26">
        <f>Q38+10454886251</f>
        <v>32062676175</v>
      </c>
      <c r="U38" s="50">
        <f t="shared" si="8"/>
        <v>1.0687558724999999</v>
      </c>
      <c r="V38" s="26">
        <f t="shared" si="10"/>
        <v>32062676175</v>
      </c>
      <c r="W38" s="50">
        <f t="shared" si="7"/>
        <v>0.801566904375</v>
      </c>
      <c r="X38" s="32">
        <v>40000000000</v>
      </c>
      <c r="Y38" s="32">
        <f>V38+26334701560</f>
        <v>58397377735</v>
      </c>
      <c r="Z38" s="129">
        <f>Y38/X38</f>
        <v>1.4599344433749999</v>
      </c>
      <c r="AA38" s="169">
        <f>Y38</f>
        <v>58397377735</v>
      </c>
      <c r="AB38" s="129">
        <f>AA38/K38</f>
        <v>1.4599344433749999</v>
      </c>
      <c r="AC38" s="137" t="s">
        <v>446</v>
      </c>
    </row>
    <row r="39" spans="1:29" s="20" customFormat="1" ht="120" customHeight="1" x14ac:dyDescent="0.3">
      <c r="A39" s="207"/>
      <c r="B39" s="189"/>
      <c r="C39" s="189"/>
      <c r="D39" s="189"/>
      <c r="E39" s="190"/>
      <c r="F39" s="189"/>
      <c r="G39" s="157" t="s">
        <v>311</v>
      </c>
      <c r="H39" s="158" t="s">
        <v>312</v>
      </c>
      <c r="I39" s="159" t="s">
        <v>10</v>
      </c>
      <c r="J39" s="157">
        <v>20</v>
      </c>
      <c r="K39" s="157">
        <v>200</v>
      </c>
      <c r="L39" s="56">
        <v>70</v>
      </c>
      <c r="M39" s="32">
        <v>86</v>
      </c>
      <c r="N39" s="32">
        <v>100</v>
      </c>
      <c r="O39" s="32">
        <v>100</v>
      </c>
      <c r="P39" s="50">
        <f t="shared" si="0"/>
        <v>1</v>
      </c>
      <c r="Q39" s="32">
        <f t="shared" si="9"/>
        <v>100</v>
      </c>
      <c r="R39" s="50">
        <f t="shared" si="2"/>
        <v>0.5</v>
      </c>
      <c r="S39" s="32">
        <v>150</v>
      </c>
      <c r="T39" s="26">
        <v>153</v>
      </c>
      <c r="U39" s="50">
        <f t="shared" si="8"/>
        <v>1.02</v>
      </c>
      <c r="V39" s="26">
        <f t="shared" si="10"/>
        <v>153</v>
      </c>
      <c r="W39" s="50">
        <f t="shared" si="7"/>
        <v>0.76500000000000001</v>
      </c>
      <c r="X39" s="32">
        <v>200</v>
      </c>
      <c r="Y39" s="32">
        <v>166</v>
      </c>
      <c r="Z39" s="129">
        <f>Y39/X39</f>
        <v>0.83</v>
      </c>
      <c r="AA39" s="221">
        <f>Y39</f>
        <v>166</v>
      </c>
      <c r="AB39" s="129">
        <f>AA39/K39</f>
        <v>0.83</v>
      </c>
      <c r="AC39" s="173" t="s">
        <v>476</v>
      </c>
    </row>
    <row r="40" spans="1:29" s="20" customFormat="1" ht="120" customHeight="1" x14ac:dyDescent="0.3">
      <c r="A40" s="207">
        <v>5</v>
      </c>
      <c r="B40" s="189" t="s">
        <v>38</v>
      </c>
      <c r="C40" s="189" t="s">
        <v>256</v>
      </c>
      <c r="D40" s="189">
        <v>1</v>
      </c>
      <c r="E40" s="190" t="s">
        <v>39</v>
      </c>
      <c r="F40" s="189">
        <v>1</v>
      </c>
      <c r="G40" s="189" t="s">
        <v>313</v>
      </c>
      <c r="H40" s="158" t="s">
        <v>314</v>
      </c>
      <c r="I40" s="159" t="s">
        <v>140</v>
      </c>
      <c r="J40" s="157">
        <v>59</v>
      </c>
      <c r="K40" s="157">
        <v>133</v>
      </c>
      <c r="L40" s="157">
        <v>81</v>
      </c>
      <c r="M40" s="18">
        <v>81</v>
      </c>
      <c r="N40" s="18">
        <v>98</v>
      </c>
      <c r="O40" s="18">
        <v>97</v>
      </c>
      <c r="P40" s="50">
        <f t="shared" si="0"/>
        <v>0.98979591836734693</v>
      </c>
      <c r="Q40" s="133">
        <f t="shared" si="9"/>
        <v>97</v>
      </c>
      <c r="R40" s="50">
        <f t="shared" si="2"/>
        <v>0.72932330827067671</v>
      </c>
      <c r="S40" s="18">
        <v>115</v>
      </c>
      <c r="T40" s="26">
        <v>119</v>
      </c>
      <c r="U40" s="50">
        <f>(T40-J40)/(S40-J40)</f>
        <v>1.0714285714285714</v>
      </c>
      <c r="V40" s="26">
        <f t="shared" si="10"/>
        <v>119</v>
      </c>
      <c r="W40" s="50">
        <f>(V40-J40)/(K40-J40)</f>
        <v>0.81081081081081086</v>
      </c>
      <c r="X40" s="18">
        <v>133</v>
      </c>
      <c r="Y40" s="18">
        <v>133</v>
      </c>
      <c r="Z40" s="129">
        <f t="shared" ref="Z40:Z45" si="11">Y40/X40</f>
        <v>1</v>
      </c>
      <c r="AA40" s="163">
        <f t="shared" ref="AA40:AA45" si="12">Y40</f>
        <v>133</v>
      </c>
      <c r="AB40" s="129">
        <f>AA40/K40</f>
        <v>1</v>
      </c>
      <c r="AC40" s="137" t="s">
        <v>472</v>
      </c>
    </row>
    <row r="41" spans="1:29" s="20" customFormat="1" ht="120" customHeight="1" x14ac:dyDescent="0.3">
      <c r="A41" s="207"/>
      <c r="B41" s="189"/>
      <c r="C41" s="189"/>
      <c r="D41" s="189"/>
      <c r="E41" s="190"/>
      <c r="F41" s="189"/>
      <c r="G41" s="189"/>
      <c r="H41" s="158" t="s">
        <v>374</v>
      </c>
      <c r="I41" s="159" t="s">
        <v>142</v>
      </c>
      <c r="J41" s="157" t="s">
        <v>259</v>
      </c>
      <c r="K41" s="157">
        <v>1</v>
      </c>
      <c r="L41" s="157" t="s">
        <v>260</v>
      </c>
      <c r="M41" s="18" t="s">
        <v>259</v>
      </c>
      <c r="N41" s="18" t="s">
        <v>260</v>
      </c>
      <c r="O41" s="18" t="s">
        <v>259</v>
      </c>
      <c r="P41" s="50" t="s">
        <v>259</v>
      </c>
      <c r="Q41" s="50" t="s">
        <v>259</v>
      </c>
      <c r="R41" s="50" t="s">
        <v>259</v>
      </c>
      <c r="S41" s="18" t="s">
        <v>260</v>
      </c>
      <c r="T41" s="26" t="s">
        <v>259</v>
      </c>
      <c r="U41" s="50" t="s">
        <v>259</v>
      </c>
      <c r="V41" s="50" t="s">
        <v>259</v>
      </c>
      <c r="W41" s="50" t="s">
        <v>259</v>
      </c>
      <c r="X41" s="18">
        <v>1</v>
      </c>
      <c r="Y41" s="18">
        <v>0</v>
      </c>
      <c r="Z41" s="129">
        <f t="shared" si="11"/>
        <v>0</v>
      </c>
      <c r="AA41" s="163">
        <f t="shared" si="12"/>
        <v>0</v>
      </c>
      <c r="AB41" s="129">
        <f>AA41/K41</f>
        <v>0</v>
      </c>
      <c r="AC41" s="137" t="s">
        <v>441</v>
      </c>
    </row>
    <row r="42" spans="1:29" s="20" customFormat="1" ht="120" customHeight="1" x14ac:dyDescent="0.3">
      <c r="A42" s="207"/>
      <c r="B42" s="189"/>
      <c r="C42" s="189"/>
      <c r="D42" s="189"/>
      <c r="E42" s="190"/>
      <c r="F42" s="189"/>
      <c r="G42" s="189"/>
      <c r="H42" s="158" t="s">
        <v>40</v>
      </c>
      <c r="I42" s="159" t="s">
        <v>142</v>
      </c>
      <c r="J42" s="157" t="s">
        <v>317</v>
      </c>
      <c r="K42" s="157">
        <v>328</v>
      </c>
      <c r="L42" s="157">
        <v>82</v>
      </c>
      <c r="M42" s="18">
        <v>82</v>
      </c>
      <c r="N42" s="18">
        <v>164</v>
      </c>
      <c r="O42" s="18">
        <v>164</v>
      </c>
      <c r="P42" s="50">
        <f t="shared" si="0"/>
        <v>1</v>
      </c>
      <c r="Q42" s="133">
        <f>O42</f>
        <v>164</v>
      </c>
      <c r="R42" s="50">
        <f t="shared" ref="R42:R76" si="13">Q42/K42</f>
        <v>0.5</v>
      </c>
      <c r="S42" s="18">
        <v>246</v>
      </c>
      <c r="T42" s="26">
        <f>Q42+82</f>
        <v>246</v>
      </c>
      <c r="U42" s="50">
        <f>T42/S42</f>
        <v>1</v>
      </c>
      <c r="V42" s="26">
        <f>T42</f>
        <v>246</v>
      </c>
      <c r="W42" s="50">
        <f>V42/K42</f>
        <v>0.75</v>
      </c>
      <c r="X42" s="18">
        <v>328</v>
      </c>
      <c r="Y42" s="18">
        <f>V42+19</f>
        <v>265</v>
      </c>
      <c r="Z42" s="129">
        <f t="shared" si="11"/>
        <v>0.80792682926829273</v>
      </c>
      <c r="AA42" s="163">
        <f t="shared" si="12"/>
        <v>265</v>
      </c>
      <c r="AB42" s="129">
        <f>AA42/K42</f>
        <v>0.80792682926829273</v>
      </c>
      <c r="AC42" s="137" t="s">
        <v>447</v>
      </c>
    </row>
    <row r="43" spans="1:29" s="20" customFormat="1" ht="120" customHeight="1" x14ac:dyDescent="0.3">
      <c r="A43" s="207"/>
      <c r="B43" s="189"/>
      <c r="C43" s="189"/>
      <c r="D43" s="189">
        <v>2</v>
      </c>
      <c r="E43" s="191" t="s">
        <v>318</v>
      </c>
      <c r="F43" s="189">
        <v>2</v>
      </c>
      <c r="G43" s="189" t="s">
        <v>319</v>
      </c>
      <c r="H43" s="158" t="s">
        <v>42</v>
      </c>
      <c r="I43" s="159" t="s">
        <v>6</v>
      </c>
      <c r="J43" s="157" t="s">
        <v>260</v>
      </c>
      <c r="K43" s="157">
        <v>4</v>
      </c>
      <c r="L43" s="157">
        <v>1</v>
      </c>
      <c r="M43" s="18">
        <v>1</v>
      </c>
      <c r="N43" s="18">
        <v>2</v>
      </c>
      <c r="O43" s="18">
        <v>2</v>
      </c>
      <c r="P43" s="50">
        <f t="shared" si="0"/>
        <v>1</v>
      </c>
      <c r="Q43" s="133">
        <f>O43</f>
        <v>2</v>
      </c>
      <c r="R43" s="50">
        <f t="shared" si="13"/>
        <v>0.5</v>
      </c>
      <c r="S43" s="18">
        <v>3</v>
      </c>
      <c r="T43" s="26">
        <f>Q43+1</f>
        <v>3</v>
      </c>
      <c r="U43" s="50">
        <f>T43/S43</f>
        <v>1</v>
      </c>
      <c r="V43" s="26">
        <f>T43</f>
        <v>3</v>
      </c>
      <c r="W43" s="50">
        <f>V43/K43</f>
        <v>0.75</v>
      </c>
      <c r="X43" s="18">
        <v>4</v>
      </c>
      <c r="Y43" s="18">
        <v>3</v>
      </c>
      <c r="Z43" s="129">
        <f t="shared" si="11"/>
        <v>0.75</v>
      </c>
      <c r="AA43" s="26">
        <f t="shared" si="12"/>
        <v>3</v>
      </c>
      <c r="AB43" s="129">
        <f>AA43/K43</f>
        <v>0.75</v>
      </c>
      <c r="AC43" s="137" t="s">
        <v>424</v>
      </c>
    </row>
    <row r="44" spans="1:29" s="20" customFormat="1" ht="120" customHeight="1" x14ac:dyDescent="0.3">
      <c r="A44" s="207"/>
      <c r="B44" s="189"/>
      <c r="C44" s="189"/>
      <c r="D44" s="189"/>
      <c r="E44" s="191"/>
      <c r="F44" s="189"/>
      <c r="G44" s="189"/>
      <c r="H44" s="158" t="s">
        <v>380</v>
      </c>
      <c r="I44" s="159" t="s">
        <v>6</v>
      </c>
      <c r="J44" s="54">
        <v>300</v>
      </c>
      <c r="K44" s="54">
        <v>1301</v>
      </c>
      <c r="L44" s="157">
        <v>100</v>
      </c>
      <c r="M44" s="18">
        <v>100</v>
      </c>
      <c r="N44" s="18">
        <v>240</v>
      </c>
      <c r="O44" s="18">
        <v>268</v>
      </c>
      <c r="P44" s="50">
        <f t="shared" si="0"/>
        <v>1.1166666666666667</v>
      </c>
      <c r="Q44" s="133">
        <f>O44</f>
        <v>268</v>
      </c>
      <c r="R44" s="50">
        <f t="shared" si="13"/>
        <v>0.20599538816295157</v>
      </c>
      <c r="S44" s="18">
        <v>742</v>
      </c>
      <c r="T44" s="26">
        <f>Q44+354</f>
        <v>622</v>
      </c>
      <c r="U44" s="50">
        <f>T44/S44</f>
        <v>0.83827493261455521</v>
      </c>
      <c r="V44" s="26">
        <f>T44</f>
        <v>622</v>
      </c>
      <c r="W44" s="50">
        <f>V44/K44</f>
        <v>0.47809377401998465</v>
      </c>
      <c r="X44" s="18">
        <v>1301</v>
      </c>
      <c r="Y44" s="18">
        <f>V44+210</f>
        <v>832</v>
      </c>
      <c r="Z44" s="129">
        <f t="shared" si="11"/>
        <v>0.63950807071483473</v>
      </c>
      <c r="AA44" s="26">
        <f t="shared" si="12"/>
        <v>832</v>
      </c>
      <c r="AB44" s="129">
        <f>AA44/K44</f>
        <v>0.63950807071483473</v>
      </c>
      <c r="AC44" s="137" t="s">
        <v>473</v>
      </c>
    </row>
    <row r="45" spans="1:29" s="20" customFormat="1" ht="120" customHeight="1" x14ac:dyDescent="0.3">
      <c r="A45" s="207">
        <v>6</v>
      </c>
      <c r="B45" s="189" t="s">
        <v>323</v>
      </c>
      <c r="C45" s="189" t="s">
        <v>294</v>
      </c>
      <c r="D45" s="189">
        <v>1</v>
      </c>
      <c r="E45" s="190" t="s">
        <v>44</v>
      </c>
      <c r="F45" s="189">
        <v>1</v>
      </c>
      <c r="G45" s="189" t="s">
        <v>294</v>
      </c>
      <c r="H45" s="158" t="s">
        <v>45</v>
      </c>
      <c r="I45" s="159" t="s">
        <v>5</v>
      </c>
      <c r="J45" s="157">
        <v>10</v>
      </c>
      <c r="K45" s="157">
        <v>14</v>
      </c>
      <c r="L45" s="157">
        <v>11</v>
      </c>
      <c r="M45" s="18">
        <v>11</v>
      </c>
      <c r="N45" s="18">
        <v>12</v>
      </c>
      <c r="O45" s="18">
        <v>12</v>
      </c>
      <c r="P45" s="50">
        <f t="shared" si="0"/>
        <v>1</v>
      </c>
      <c r="Q45" s="133">
        <f>O45</f>
        <v>12</v>
      </c>
      <c r="R45" s="50">
        <f t="shared" si="13"/>
        <v>0.8571428571428571</v>
      </c>
      <c r="S45" s="18">
        <v>13</v>
      </c>
      <c r="T45" s="26">
        <v>12</v>
      </c>
      <c r="U45" s="50">
        <f>(T45-J45)/(S45-J45)</f>
        <v>0.66666666666666663</v>
      </c>
      <c r="V45" s="26">
        <v>12</v>
      </c>
      <c r="W45" s="50">
        <f>(V45-J45)/(K45-J45)</f>
        <v>0.5</v>
      </c>
      <c r="X45" s="18">
        <v>14</v>
      </c>
      <c r="Y45" s="18">
        <v>13</v>
      </c>
      <c r="Z45" s="129">
        <f t="shared" si="11"/>
        <v>0.9285714285714286</v>
      </c>
      <c r="AA45" s="163">
        <f t="shared" si="12"/>
        <v>13</v>
      </c>
      <c r="AB45" s="129">
        <f>AA45/K45</f>
        <v>0.9285714285714286</v>
      </c>
      <c r="AC45" s="137" t="s">
        <v>429</v>
      </c>
    </row>
    <row r="46" spans="1:29" s="20" customFormat="1" ht="120" customHeight="1" x14ac:dyDescent="0.3">
      <c r="A46" s="207"/>
      <c r="B46" s="189"/>
      <c r="C46" s="189"/>
      <c r="D46" s="189"/>
      <c r="E46" s="190"/>
      <c r="F46" s="189"/>
      <c r="G46" s="189"/>
      <c r="H46" s="158" t="s">
        <v>46</v>
      </c>
      <c r="I46" s="159" t="s">
        <v>5</v>
      </c>
      <c r="J46" s="157" t="s">
        <v>259</v>
      </c>
      <c r="K46" s="157">
        <v>200</v>
      </c>
      <c r="L46" s="157">
        <v>21</v>
      </c>
      <c r="M46" s="18">
        <v>21</v>
      </c>
      <c r="N46" s="18">
        <v>57</v>
      </c>
      <c r="O46" s="18">
        <v>57</v>
      </c>
      <c r="P46" s="50">
        <f t="shared" si="0"/>
        <v>1</v>
      </c>
      <c r="Q46" s="133">
        <f>O46+M46</f>
        <v>78</v>
      </c>
      <c r="R46" s="50">
        <f t="shared" si="13"/>
        <v>0.39</v>
      </c>
      <c r="S46" s="18">
        <v>73</v>
      </c>
      <c r="T46" s="26">
        <v>131</v>
      </c>
      <c r="U46" s="50">
        <f>T46/S46</f>
        <v>1.7945205479452055</v>
      </c>
      <c r="V46" s="26">
        <v>209</v>
      </c>
      <c r="W46" s="50">
        <f>V46/K46</f>
        <v>1.0449999999999999</v>
      </c>
      <c r="X46" s="18" t="s">
        <v>259</v>
      </c>
      <c r="Y46" s="18" t="s">
        <v>259</v>
      </c>
      <c r="Z46" s="129" t="s">
        <v>259</v>
      </c>
      <c r="AA46" s="155">
        <f>V46</f>
        <v>209</v>
      </c>
      <c r="AB46" s="129">
        <f>AA46/K46</f>
        <v>1.0449999999999999</v>
      </c>
      <c r="AC46" s="137" t="s">
        <v>430</v>
      </c>
    </row>
    <row r="47" spans="1:29" s="20" customFormat="1" ht="120" customHeight="1" x14ac:dyDescent="0.3">
      <c r="A47" s="207"/>
      <c r="B47" s="189"/>
      <c r="C47" s="189"/>
      <c r="D47" s="189">
        <v>2</v>
      </c>
      <c r="E47" s="190" t="s">
        <v>47</v>
      </c>
      <c r="F47" s="189">
        <v>2</v>
      </c>
      <c r="G47" s="189" t="s">
        <v>324</v>
      </c>
      <c r="H47" s="158" t="s">
        <v>325</v>
      </c>
      <c r="I47" s="159" t="s">
        <v>5</v>
      </c>
      <c r="J47" s="157">
        <v>5</v>
      </c>
      <c r="K47" s="157">
        <v>8</v>
      </c>
      <c r="L47" s="157">
        <v>6</v>
      </c>
      <c r="M47" s="18">
        <v>6</v>
      </c>
      <c r="N47" s="18">
        <v>6</v>
      </c>
      <c r="O47" s="18">
        <v>6</v>
      </c>
      <c r="P47" s="50">
        <f t="shared" si="0"/>
        <v>1</v>
      </c>
      <c r="Q47" s="133">
        <f>O47</f>
        <v>6</v>
      </c>
      <c r="R47" s="50">
        <f t="shared" si="13"/>
        <v>0.75</v>
      </c>
      <c r="S47" s="18">
        <v>7</v>
      </c>
      <c r="T47" s="26">
        <f>Q47+2</f>
        <v>8</v>
      </c>
      <c r="U47" s="50">
        <f t="shared" ref="U47" si="14">T47/K47</f>
        <v>1</v>
      </c>
      <c r="V47" s="26">
        <v>8</v>
      </c>
      <c r="W47" s="50">
        <f>V47/K47</f>
        <v>1</v>
      </c>
      <c r="X47" s="18">
        <v>8</v>
      </c>
      <c r="Y47" s="18">
        <v>9</v>
      </c>
      <c r="Z47" s="129">
        <f>Y47/X47</f>
        <v>1.125</v>
      </c>
      <c r="AA47" s="163">
        <f>Y47</f>
        <v>9</v>
      </c>
      <c r="AB47" s="129">
        <f>AA47/K47</f>
        <v>1.125</v>
      </c>
      <c r="AC47" s="137" t="s">
        <v>431</v>
      </c>
    </row>
    <row r="48" spans="1:29" s="20" customFormat="1" ht="120" customHeight="1" x14ac:dyDescent="0.3">
      <c r="A48" s="207"/>
      <c r="B48" s="189"/>
      <c r="C48" s="189"/>
      <c r="D48" s="189"/>
      <c r="E48" s="190"/>
      <c r="F48" s="189"/>
      <c r="G48" s="189"/>
      <c r="H48" s="158" t="s">
        <v>48</v>
      </c>
      <c r="I48" s="159" t="s">
        <v>5</v>
      </c>
      <c r="J48" s="157">
        <v>1141</v>
      </c>
      <c r="K48" s="157">
        <v>1161</v>
      </c>
      <c r="L48" s="157">
        <v>1145</v>
      </c>
      <c r="M48" s="18">
        <v>1145</v>
      </c>
      <c r="N48" s="18">
        <v>1152</v>
      </c>
      <c r="O48" s="18">
        <v>1153</v>
      </c>
      <c r="P48" s="50">
        <f t="shared" si="0"/>
        <v>1.0008680555555556</v>
      </c>
      <c r="Q48" s="133">
        <f>O48</f>
        <v>1153</v>
      </c>
      <c r="R48" s="50">
        <f t="shared" si="13"/>
        <v>0.99310938845822572</v>
      </c>
      <c r="S48" s="18">
        <v>1159</v>
      </c>
      <c r="T48" s="26">
        <f>Q48+7</f>
        <v>1160</v>
      </c>
      <c r="U48" s="50">
        <f>(T48-J48)/(S48-J48)</f>
        <v>1.0555555555555556</v>
      </c>
      <c r="V48" s="26">
        <f>T48</f>
        <v>1160</v>
      </c>
      <c r="W48" s="50">
        <f>(V48-J48)/(K48-J48)</f>
        <v>0.95</v>
      </c>
      <c r="X48" s="18">
        <v>1161</v>
      </c>
      <c r="Y48" s="18">
        <v>1160</v>
      </c>
      <c r="Z48" s="164">
        <f>Y48/X48</f>
        <v>0.99913867355727826</v>
      </c>
      <c r="AA48" s="152">
        <f>Y48</f>
        <v>1160</v>
      </c>
      <c r="AB48" s="164">
        <f>AA48/K48</f>
        <v>0.99913867355727826</v>
      </c>
      <c r="AC48" s="137" t="s">
        <v>432</v>
      </c>
    </row>
    <row r="49" spans="1:29" s="20" customFormat="1" ht="120" customHeight="1" x14ac:dyDescent="0.3">
      <c r="A49" s="207"/>
      <c r="B49" s="189"/>
      <c r="C49" s="189"/>
      <c r="D49" s="189"/>
      <c r="E49" s="190"/>
      <c r="F49" s="189"/>
      <c r="G49" s="189"/>
      <c r="H49" s="158" t="s">
        <v>326</v>
      </c>
      <c r="I49" s="159" t="s">
        <v>6</v>
      </c>
      <c r="J49" s="157">
        <v>2</v>
      </c>
      <c r="K49" s="157">
        <v>5</v>
      </c>
      <c r="L49" s="157">
        <v>2</v>
      </c>
      <c r="M49" s="18">
        <v>2</v>
      </c>
      <c r="N49" s="18">
        <v>2</v>
      </c>
      <c r="O49" s="18">
        <v>4</v>
      </c>
      <c r="P49" s="50">
        <f t="shared" si="0"/>
        <v>2</v>
      </c>
      <c r="Q49" s="133">
        <f>O49</f>
        <v>4</v>
      </c>
      <c r="R49" s="50">
        <f t="shared" si="13"/>
        <v>0.8</v>
      </c>
      <c r="S49" s="18">
        <v>6</v>
      </c>
      <c r="T49" s="26">
        <v>6</v>
      </c>
      <c r="U49" s="50">
        <f>T49/S49</f>
        <v>1</v>
      </c>
      <c r="V49" s="26">
        <v>6</v>
      </c>
      <c r="W49" s="50">
        <v>1</v>
      </c>
      <c r="X49" s="18">
        <v>5</v>
      </c>
      <c r="Y49" s="18">
        <v>6</v>
      </c>
      <c r="Z49" s="129">
        <f>Y49/X49</f>
        <v>1.2</v>
      </c>
      <c r="AA49" s="18">
        <v>6</v>
      </c>
      <c r="AB49" s="129">
        <f>AA49/K49</f>
        <v>1.2</v>
      </c>
      <c r="AC49" s="137" t="s">
        <v>423</v>
      </c>
    </row>
    <row r="50" spans="1:29" s="20" customFormat="1" ht="120" customHeight="1" x14ac:dyDescent="0.3">
      <c r="A50" s="207"/>
      <c r="B50" s="189"/>
      <c r="C50" s="189"/>
      <c r="D50" s="211">
        <v>3</v>
      </c>
      <c r="E50" s="190" t="s">
        <v>96</v>
      </c>
      <c r="F50" s="211">
        <v>3</v>
      </c>
      <c r="G50" s="189" t="s">
        <v>278</v>
      </c>
      <c r="H50" s="158" t="s">
        <v>375</v>
      </c>
      <c r="I50" s="159" t="s">
        <v>12</v>
      </c>
      <c r="J50" s="157" t="s">
        <v>279</v>
      </c>
      <c r="K50" s="49">
        <v>1</v>
      </c>
      <c r="L50" s="49">
        <v>1</v>
      </c>
      <c r="M50" s="21">
        <v>1</v>
      </c>
      <c r="N50" s="21">
        <v>1</v>
      </c>
      <c r="O50" s="21">
        <v>1</v>
      </c>
      <c r="P50" s="50">
        <f t="shared" si="0"/>
        <v>1</v>
      </c>
      <c r="Q50" s="50">
        <f>O50</f>
        <v>1</v>
      </c>
      <c r="R50" s="50">
        <f t="shared" si="13"/>
        <v>1</v>
      </c>
      <c r="S50" s="18">
        <v>0</v>
      </c>
      <c r="T50" s="26" t="s">
        <v>259</v>
      </c>
      <c r="U50" s="50">
        <v>1</v>
      </c>
      <c r="V50" s="50" t="s">
        <v>259</v>
      </c>
      <c r="W50" s="50">
        <v>1</v>
      </c>
      <c r="X50" s="18">
        <v>0</v>
      </c>
      <c r="Y50" s="18" t="s">
        <v>259</v>
      </c>
      <c r="Z50" s="129" t="s">
        <v>259</v>
      </c>
      <c r="AA50" s="156">
        <f>M50</f>
        <v>1</v>
      </c>
      <c r="AB50" s="129">
        <f>W50</f>
        <v>1</v>
      </c>
      <c r="AC50" s="137" t="s">
        <v>412</v>
      </c>
    </row>
    <row r="51" spans="1:29" s="20" customFormat="1" ht="120" customHeight="1" x14ac:dyDescent="0.3">
      <c r="A51" s="207"/>
      <c r="B51" s="189"/>
      <c r="C51" s="189"/>
      <c r="D51" s="211"/>
      <c r="E51" s="190"/>
      <c r="F51" s="211"/>
      <c r="G51" s="189"/>
      <c r="H51" s="158" t="s">
        <v>328</v>
      </c>
      <c r="I51" s="159" t="s">
        <v>6</v>
      </c>
      <c r="J51" s="157" t="s">
        <v>260</v>
      </c>
      <c r="K51" s="54">
        <v>3200000</v>
      </c>
      <c r="L51" s="54">
        <v>800000</v>
      </c>
      <c r="M51" s="26">
        <v>800000</v>
      </c>
      <c r="N51" s="26">
        <v>800000</v>
      </c>
      <c r="O51" s="26">
        <v>800000</v>
      </c>
      <c r="P51" s="50">
        <f t="shared" si="0"/>
        <v>1</v>
      </c>
      <c r="Q51" s="26">
        <f>O51+M51</f>
        <v>1600000</v>
      </c>
      <c r="R51" s="50">
        <f t="shared" si="13"/>
        <v>0.5</v>
      </c>
      <c r="S51" s="26">
        <v>800000</v>
      </c>
      <c r="T51" s="26">
        <v>695108</v>
      </c>
      <c r="U51" s="50">
        <f>T51/S51</f>
        <v>0.86888500000000002</v>
      </c>
      <c r="V51" s="26">
        <f>Q51+T51</f>
        <v>2295108</v>
      </c>
      <c r="W51" s="50">
        <f>V51/K51</f>
        <v>0.71722125000000003</v>
      </c>
      <c r="X51" s="26">
        <v>800000</v>
      </c>
      <c r="Y51" s="26">
        <v>1462</v>
      </c>
      <c r="Z51" s="130">
        <f t="shared" ref="Z51:Z58" si="15">Y51/X51</f>
        <v>1.8274999999999999E-3</v>
      </c>
      <c r="AA51" s="26">
        <f>V51+Y51</f>
        <v>2296570</v>
      </c>
      <c r="AB51" s="129">
        <f>AA51/K51</f>
        <v>0.71767812499999994</v>
      </c>
      <c r="AC51" s="137" t="s">
        <v>425</v>
      </c>
    </row>
    <row r="52" spans="1:29" s="20" customFormat="1" ht="120" customHeight="1" x14ac:dyDescent="0.3">
      <c r="A52" s="207"/>
      <c r="B52" s="189"/>
      <c r="C52" s="189"/>
      <c r="D52" s="189">
        <v>4</v>
      </c>
      <c r="E52" s="190" t="s">
        <v>91</v>
      </c>
      <c r="F52" s="189">
        <v>4</v>
      </c>
      <c r="G52" s="189" t="s">
        <v>294</v>
      </c>
      <c r="H52" s="158" t="s">
        <v>330</v>
      </c>
      <c r="I52" s="159" t="s">
        <v>5</v>
      </c>
      <c r="J52" s="157">
        <v>53</v>
      </c>
      <c r="K52" s="157">
        <v>65</v>
      </c>
      <c r="L52" s="157">
        <v>55</v>
      </c>
      <c r="M52" s="18">
        <v>55</v>
      </c>
      <c r="N52" s="18">
        <v>57</v>
      </c>
      <c r="O52" s="18">
        <v>57</v>
      </c>
      <c r="P52" s="50">
        <f t="shared" si="0"/>
        <v>1</v>
      </c>
      <c r="Q52" s="133">
        <f t="shared" ref="Q52:Q57" si="16">O52</f>
        <v>57</v>
      </c>
      <c r="R52" s="50">
        <f t="shared" si="13"/>
        <v>0.87692307692307692</v>
      </c>
      <c r="S52" s="18">
        <v>62</v>
      </c>
      <c r="T52" s="26">
        <v>63</v>
      </c>
      <c r="U52" s="50">
        <f>(T52-J52)/(S52-J52)</f>
        <v>1.1111111111111112</v>
      </c>
      <c r="V52" s="26">
        <v>63</v>
      </c>
      <c r="W52" s="50">
        <f>(V52-J52)/(K52-J52)</f>
        <v>0.83333333333333337</v>
      </c>
      <c r="X52" s="18">
        <v>65</v>
      </c>
      <c r="Y52" s="18">
        <v>63</v>
      </c>
      <c r="Z52" s="129">
        <f t="shared" si="15"/>
        <v>0.96923076923076923</v>
      </c>
      <c r="AA52" s="163">
        <f t="shared" ref="AA52:AA57" si="17">Y52</f>
        <v>63</v>
      </c>
      <c r="AB52" s="165">
        <f>AA52/K52</f>
        <v>0.96923076923076923</v>
      </c>
      <c r="AC52" s="137" t="s">
        <v>433</v>
      </c>
    </row>
    <row r="53" spans="1:29" s="20" customFormat="1" ht="120" customHeight="1" x14ac:dyDescent="0.3">
      <c r="A53" s="207"/>
      <c r="B53" s="189"/>
      <c r="C53" s="189"/>
      <c r="D53" s="189"/>
      <c r="E53" s="190"/>
      <c r="F53" s="189"/>
      <c r="G53" s="189"/>
      <c r="H53" s="158" t="s">
        <v>331</v>
      </c>
      <c r="I53" s="159" t="s">
        <v>5</v>
      </c>
      <c r="J53" s="157">
        <v>61</v>
      </c>
      <c r="K53" s="157">
        <v>73</v>
      </c>
      <c r="L53" s="157">
        <v>67</v>
      </c>
      <c r="M53" s="18">
        <v>67</v>
      </c>
      <c r="N53" s="18">
        <v>68</v>
      </c>
      <c r="O53" s="18">
        <v>68</v>
      </c>
      <c r="P53" s="50">
        <f t="shared" si="0"/>
        <v>1</v>
      </c>
      <c r="Q53" s="133">
        <f t="shared" si="16"/>
        <v>68</v>
      </c>
      <c r="R53" s="50">
        <f t="shared" si="13"/>
        <v>0.93150684931506844</v>
      </c>
      <c r="S53" s="18">
        <v>71</v>
      </c>
      <c r="T53" s="26">
        <v>71</v>
      </c>
      <c r="U53" s="50">
        <f>(T53-J53)/(S53-J53)</f>
        <v>1</v>
      </c>
      <c r="V53" s="26">
        <f>T53</f>
        <v>71</v>
      </c>
      <c r="W53" s="50">
        <f>(V53-J53)/(K53-J53)</f>
        <v>0.83333333333333337</v>
      </c>
      <c r="X53" s="18">
        <v>73</v>
      </c>
      <c r="Y53" s="18">
        <v>72</v>
      </c>
      <c r="Z53" s="129">
        <f t="shared" si="15"/>
        <v>0.98630136986301364</v>
      </c>
      <c r="AA53" s="163">
        <f t="shared" si="17"/>
        <v>72</v>
      </c>
      <c r="AB53" s="165">
        <f>AA53/K53</f>
        <v>0.98630136986301364</v>
      </c>
      <c r="AC53" s="137" t="s">
        <v>434</v>
      </c>
    </row>
    <row r="54" spans="1:29" s="20" customFormat="1" ht="120" customHeight="1" x14ac:dyDescent="0.3">
      <c r="A54" s="207"/>
      <c r="B54" s="189"/>
      <c r="C54" s="189"/>
      <c r="D54" s="157">
        <v>5</v>
      </c>
      <c r="E54" s="158" t="s">
        <v>332</v>
      </c>
      <c r="F54" s="157">
        <v>5</v>
      </c>
      <c r="G54" s="157" t="s">
        <v>316</v>
      </c>
      <c r="H54" s="158" t="s">
        <v>49</v>
      </c>
      <c r="I54" s="159" t="s">
        <v>142</v>
      </c>
      <c r="J54" s="157" t="s">
        <v>317</v>
      </c>
      <c r="K54" s="157">
        <v>48</v>
      </c>
      <c r="L54" s="57">
        <v>12</v>
      </c>
      <c r="M54" s="34">
        <v>12</v>
      </c>
      <c r="N54" s="34">
        <v>24</v>
      </c>
      <c r="O54" s="34">
        <v>24</v>
      </c>
      <c r="P54" s="50">
        <f t="shared" si="0"/>
        <v>1</v>
      </c>
      <c r="Q54" s="34">
        <f t="shared" si="16"/>
        <v>24</v>
      </c>
      <c r="R54" s="50">
        <f t="shared" si="13"/>
        <v>0.5</v>
      </c>
      <c r="S54" s="34">
        <v>36</v>
      </c>
      <c r="T54" s="26">
        <f>Q54+12</f>
        <v>36</v>
      </c>
      <c r="U54" s="50">
        <f>T54/S54</f>
        <v>1</v>
      </c>
      <c r="V54" s="26">
        <f>T54</f>
        <v>36</v>
      </c>
      <c r="W54" s="50">
        <f>T54/K54</f>
        <v>0.75</v>
      </c>
      <c r="X54" s="34">
        <v>48</v>
      </c>
      <c r="Y54" s="34">
        <f>V54+3</f>
        <v>39</v>
      </c>
      <c r="Z54" s="129">
        <f t="shared" si="15"/>
        <v>0.8125</v>
      </c>
      <c r="AA54" s="170">
        <f t="shared" si="17"/>
        <v>39</v>
      </c>
      <c r="AB54" s="165">
        <f>AA54/K54</f>
        <v>0.8125</v>
      </c>
      <c r="AC54" s="137" t="s">
        <v>448</v>
      </c>
    </row>
    <row r="55" spans="1:29" s="20" customFormat="1" ht="120" customHeight="1" x14ac:dyDescent="0.3">
      <c r="A55" s="207">
        <v>7</v>
      </c>
      <c r="B55" s="189" t="s">
        <v>333</v>
      </c>
      <c r="C55" s="189" t="s">
        <v>334</v>
      </c>
      <c r="D55" s="189">
        <v>1</v>
      </c>
      <c r="E55" s="190" t="s">
        <v>335</v>
      </c>
      <c r="F55" s="189">
        <v>1</v>
      </c>
      <c r="G55" s="189" t="s">
        <v>336</v>
      </c>
      <c r="H55" s="158" t="s">
        <v>337</v>
      </c>
      <c r="I55" s="159" t="s">
        <v>148</v>
      </c>
      <c r="J55" s="54">
        <v>2050</v>
      </c>
      <c r="K55" s="54">
        <v>12294</v>
      </c>
      <c r="L55" s="54">
        <v>4350</v>
      </c>
      <c r="M55" s="26">
        <v>4350</v>
      </c>
      <c r="N55" s="26">
        <v>6870</v>
      </c>
      <c r="O55" s="26">
        <v>6870</v>
      </c>
      <c r="P55" s="50">
        <f t="shared" si="0"/>
        <v>1</v>
      </c>
      <c r="Q55" s="34">
        <f t="shared" si="16"/>
        <v>6870</v>
      </c>
      <c r="R55" s="50">
        <f t="shared" si="13"/>
        <v>0.55880917520741824</v>
      </c>
      <c r="S55" s="26">
        <v>9516</v>
      </c>
      <c r="T55" s="26">
        <v>10374</v>
      </c>
      <c r="U55" s="50">
        <f>(T55-J55)/(S55-J55)</f>
        <v>1.1149209750870614</v>
      </c>
      <c r="V55" s="26">
        <f>T55</f>
        <v>10374</v>
      </c>
      <c r="W55" s="50">
        <f>(V55-J55)/(K55-J55)</f>
        <v>0.81257321358844203</v>
      </c>
      <c r="X55" s="26">
        <v>12294</v>
      </c>
      <c r="Y55" s="26">
        <f>V55+2723</f>
        <v>13097</v>
      </c>
      <c r="Z55" s="129">
        <f t="shared" si="15"/>
        <v>1.0653164145111436</v>
      </c>
      <c r="AA55" s="155">
        <f t="shared" si="17"/>
        <v>13097</v>
      </c>
      <c r="AB55" s="165">
        <f>AA55/K55</f>
        <v>1.0653164145111436</v>
      </c>
      <c r="AC55" s="137" t="s">
        <v>449</v>
      </c>
    </row>
    <row r="56" spans="1:29" s="20" customFormat="1" ht="120" customHeight="1" x14ac:dyDescent="0.3">
      <c r="A56" s="207"/>
      <c r="B56" s="189"/>
      <c r="C56" s="189"/>
      <c r="D56" s="189"/>
      <c r="E56" s="190"/>
      <c r="F56" s="189"/>
      <c r="G56" s="189"/>
      <c r="H56" s="158" t="s">
        <v>339</v>
      </c>
      <c r="I56" s="159" t="s">
        <v>148</v>
      </c>
      <c r="J56" s="54" t="s">
        <v>260</v>
      </c>
      <c r="K56" s="52">
        <v>0.2</v>
      </c>
      <c r="L56" s="52">
        <v>0.2</v>
      </c>
      <c r="M56" s="22">
        <v>0.2</v>
      </c>
      <c r="N56" s="22">
        <v>0.02</v>
      </c>
      <c r="O56" s="22">
        <v>0.02</v>
      </c>
      <c r="P56" s="50">
        <f t="shared" si="0"/>
        <v>1</v>
      </c>
      <c r="Q56" s="50">
        <f t="shared" si="16"/>
        <v>0.02</v>
      </c>
      <c r="R56" s="50">
        <f t="shared" si="13"/>
        <v>9.9999999999999992E-2</v>
      </c>
      <c r="S56" s="22">
        <v>0.2</v>
      </c>
      <c r="T56" s="168">
        <v>0.2</v>
      </c>
      <c r="U56" s="50">
        <f>T56/S56</f>
        <v>1</v>
      </c>
      <c r="V56" s="50">
        <v>0.2</v>
      </c>
      <c r="W56" s="50">
        <f>V56/K56</f>
        <v>1</v>
      </c>
      <c r="X56" s="22">
        <v>0.2</v>
      </c>
      <c r="Y56" s="22">
        <v>0</v>
      </c>
      <c r="Z56" s="129">
        <f t="shared" si="15"/>
        <v>0</v>
      </c>
      <c r="AA56" s="156">
        <f t="shared" si="17"/>
        <v>0</v>
      </c>
      <c r="AB56" s="165">
        <f>AA56/K56</f>
        <v>0</v>
      </c>
      <c r="AC56" s="137" t="s">
        <v>450</v>
      </c>
    </row>
    <row r="57" spans="1:29" s="20" customFormat="1" ht="120" customHeight="1" x14ac:dyDescent="0.3">
      <c r="A57" s="207"/>
      <c r="B57" s="189"/>
      <c r="C57" s="189"/>
      <c r="D57" s="189"/>
      <c r="E57" s="190"/>
      <c r="F57" s="189"/>
      <c r="G57" s="189"/>
      <c r="H57" s="158" t="s">
        <v>52</v>
      </c>
      <c r="I57" s="159" t="s">
        <v>149</v>
      </c>
      <c r="J57" s="157">
        <v>871</v>
      </c>
      <c r="K57" s="54">
        <v>5500</v>
      </c>
      <c r="L57" s="54">
        <v>1945</v>
      </c>
      <c r="M57" s="26">
        <v>1801</v>
      </c>
      <c r="N57" s="26">
        <v>3073</v>
      </c>
      <c r="O57" s="26">
        <v>2947</v>
      </c>
      <c r="P57" s="50">
        <f t="shared" si="0"/>
        <v>0.95899772209567202</v>
      </c>
      <c r="Q57" s="26">
        <f t="shared" si="16"/>
        <v>2947</v>
      </c>
      <c r="R57" s="50">
        <f t="shared" si="13"/>
        <v>0.53581818181818186</v>
      </c>
      <c r="S57" s="26">
        <v>4257</v>
      </c>
      <c r="T57" s="26">
        <v>6993</v>
      </c>
      <c r="U57" s="50">
        <f>(T57-J57)/(S57-J57)</f>
        <v>1.8080330773774365</v>
      </c>
      <c r="V57" s="26">
        <f>T57</f>
        <v>6993</v>
      </c>
      <c r="W57" s="50">
        <f>(V57-J57)/(K57-J57)</f>
        <v>1.3225318643335493</v>
      </c>
      <c r="X57" s="26">
        <v>5500</v>
      </c>
      <c r="Y57" s="26">
        <f>V57</f>
        <v>6993</v>
      </c>
      <c r="Z57" s="129">
        <f t="shared" si="15"/>
        <v>1.2714545454545454</v>
      </c>
      <c r="AA57" s="155">
        <f t="shared" si="17"/>
        <v>6993</v>
      </c>
      <c r="AB57" s="165">
        <f>AA57/K57</f>
        <v>1.2714545454545454</v>
      </c>
      <c r="AC57" s="137" t="s">
        <v>451</v>
      </c>
    </row>
    <row r="58" spans="1:29" s="20" customFormat="1" ht="120" customHeight="1" x14ac:dyDescent="0.3">
      <c r="A58" s="207"/>
      <c r="B58" s="189"/>
      <c r="C58" s="189"/>
      <c r="D58" s="189"/>
      <c r="E58" s="190"/>
      <c r="F58" s="189"/>
      <c r="G58" s="189"/>
      <c r="H58" s="158" t="s">
        <v>342</v>
      </c>
      <c r="I58" s="159" t="s">
        <v>149</v>
      </c>
      <c r="J58" s="157" t="s">
        <v>279</v>
      </c>
      <c r="K58" s="51">
        <v>400</v>
      </c>
      <c r="L58" s="51">
        <v>100</v>
      </c>
      <c r="M58" s="51">
        <v>102</v>
      </c>
      <c r="N58" s="51">
        <v>100</v>
      </c>
      <c r="O58" s="51">
        <v>88</v>
      </c>
      <c r="P58" s="50">
        <f t="shared" si="0"/>
        <v>0.88</v>
      </c>
      <c r="Q58" s="51">
        <f>O58+M58</f>
        <v>190</v>
      </c>
      <c r="R58" s="50">
        <f t="shared" si="13"/>
        <v>0.47499999999999998</v>
      </c>
      <c r="S58" s="51">
        <v>100</v>
      </c>
      <c r="T58" s="26">
        <v>100</v>
      </c>
      <c r="U58" s="50">
        <f>T58/S58</f>
        <v>1</v>
      </c>
      <c r="V58" s="26">
        <f>T58+Q58</f>
        <v>290</v>
      </c>
      <c r="W58" s="50">
        <f t="shared" ref="W58:W64" si="18">V58/K58</f>
        <v>0.72499999999999998</v>
      </c>
      <c r="X58" s="51">
        <v>100</v>
      </c>
      <c r="Y58" s="26">
        <v>0</v>
      </c>
      <c r="Z58" s="129">
        <f t="shared" si="15"/>
        <v>0</v>
      </c>
      <c r="AA58" s="155">
        <f>V58</f>
        <v>290</v>
      </c>
      <c r="AB58" s="165">
        <f>AA58/K58</f>
        <v>0.72499999999999998</v>
      </c>
      <c r="AC58" s="137" t="s">
        <v>452</v>
      </c>
    </row>
    <row r="59" spans="1:29" s="20" customFormat="1" ht="120" customHeight="1" x14ac:dyDescent="0.3">
      <c r="A59" s="207"/>
      <c r="B59" s="189"/>
      <c r="C59" s="189"/>
      <c r="D59" s="189">
        <v>2</v>
      </c>
      <c r="E59" s="190" t="s">
        <v>53</v>
      </c>
      <c r="F59" s="189">
        <v>2</v>
      </c>
      <c r="G59" s="189" t="s">
        <v>281</v>
      </c>
      <c r="H59" s="158" t="s">
        <v>54</v>
      </c>
      <c r="I59" s="159" t="s">
        <v>5</v>
      </c>
      <c r="J59" s="157" t="s">
        <v>259</v>
      </c>
      <c r="K59" s="157">
        <v>1</v>
      </c>
      <c r="L59" s="157">
        <v>1</v>
      </c>
      <c r="M59" s="18">
        <v>1</v>
      </c>
      <c r="N59" s="18" t="s">
        <v>260</v>
      </c>
      <c r="O59" s="18" t="s">
        <v>259</v>
      </c>
      <c r="P59" s="50" t="s">
        <v>259</v>
      </c>
      <c r="Q59" s="36">
        <v>1</v>
      </c>
      <c r="R59" s="50">
        <f t="shared" si="13"/>
        <v>1</v>
      </c>
      <c r="S59" s="18" t="s">
        <v>260</v>
      </c>
      <c r="T59" s="26" t="s">
        <v>259</v>
      </c>
      <c r="U59" s="50">
        <v>1</v>
      </c>
      <c r="V59" s="26">
        <v>1</v>
      </c>
      <c r="W59" s="50">
        <f t="shared" si="18"/>
        <v>1</v>
      </c>
      <c r="X59" s="18" t="s">
        <v>259</v>
      </c>
      <c r="Y59" s="18" t="s">
        <v>259</v>
      </c>
      <c r="Z59" s="129" t="s">
        <v>259</v>
      </c>
      <c r="AA59" s="155">
        <f>V59</f>
        <v>1</v>
      </c>
      <c r="AB59" s="165">
        <f>AA59/K59</f>
        <v>1</v>
      </c>
      <c r="AC59" s="137" t="s">
        <v>435</v>
      </c>
    </row>
    <row r="60" spans="1:29" s="20" customFormat="1" ht="120" customHeight="1" x14ac:dyDescent="0.3">
      <c r="A60" s="207"/>
      <c r="B60" s="189"/>
      <c r="C60" s="189"/>
      <c r="D60" s="189"/>
      <c r="E60" s="190"/>
      <c r="F60" s="189"/>
      <c r="G60" s="189"/>
      <c r="H60" s="158" t="s">
        <v>55</v>
      </c>
      <c r="I60" s="159" t="s">
        <v>5</v>
      </c>
      <c r="J60" s="157" t="s">
        <v>259</v>
      </c>
      <c r="K60" s="58">
        <v>4</v>
      </c>
      <c r="L60" s="58">
        <v>1</v>
      </c>
      <c r="M60" s="36">
        <v>1</v>
      </c>
      <c r="N60" s="36">
        <v>2</v>
      </c>
      <c r="O60" s="36">
        <v>1</v>
      </c>
      <c r="P60" s="50">
        <f t="shared" si="0"/>
        <v>0.5</v>
      </c>
      <c r="Q60" s="36">
        <f>O60+M60</f>
        <v>2</v>
      </c>
      <c r="R60" s="50">
        <f t="shared" si="13"/>
        <v>0.5</v>
      </c>
      <c r="S60" s="36">
        <v>3</v>
      </c>
      <c r="T60" s="26">
        <f>Q60+2</f>
        <v>4</v>
      </c>
      <c r="U60" s="50">
        <f t="shared" ref="U60:U65" si="19">T60/S60</f>
        <v>1.3333333333333333</v>
      </c>
      <c r="V60" s="26">
        <f>T60</f>
        <v>4</v>
      </c>
      <c r="W60" s="50">
        <f t="shared" si="18"/>
        <v>1</v>
      </c>
      <c r="X60" s="36">
        <v>4</v>
      </c>
      <c r="Y60" s="36">
        <v>5</v>
      </c>
      <c r="Z60" s="129">
        <f>Y60/X60</f>
        <v>1.25</v>
      </c>
      <c r="AA60" s="166">
        <f>Y60</f>
        <v>5</v>
      </c>
      <c r="AB60" s="165">
        <f>AA60/K60</f>
        <v>1.25</v>
      </c>
      <c r="AC60" s="137" t="s">
        <v>474</v>
      </c>
    </row>
    <row r="61" spans="1:29" s="20" customFormat="1" ht="120" customHeight="1" x14ac:dyDescent="0.3">
      <c r="A61" s="207"/>
      <c r="B61" s="189"/>
      <c r="C61" s="189"/>
      <c r="D61" s="189"/>
      <c r="E61" s="190"/>
      <c r="F61" s="189"/>
      <c r="G61" s="189"/>
      <c r="H61" s="158" t="s">
        <v>344</v>
      </c>
      <c r="I61" s="159" t="s">
        <v>3</v>
      </c>
      <c r="J61" s="160" t="s">
        <v>260</v>
      </c>
      <c r="K61" s="186">
        <v>330</v>
      </c>
      <c r="L61" s="58">
        <v>60</v>
      </c>
      <c r="M61" s="36">
        <v>60</v>
      </c>
      <c r="N61" s="36">
        <v>60</v>
      </c>
      <c r="O61" s="36">
        <v>60</v>
      </c>
      <c r="P61" s="50">
        <f t="shared" si="0"/>
        <v>1</v>
      </c>
      <c r="Q61" s="36">
        <f>O61</f>
        <v>60</v>
      </c>
      <c r="R61" s="50">
        <f t="shared" si="13"/>
        <v>0.18181818181818182</v>
      </c>
      <c r="S61" s="36">
        <v>180</v>
      </c>
      <c r="T61" s="26">
        <v>257</v>
      </c>
      <c r="U61" s="50">
        <f t="shared" si="19"/>
        <v>1.4277777777777778</v>
      </c>
      <c r="V61" s="26">
        <f>T61+Q61</f>
        <v>317</v>
      </c>
      <c r="W61" s="50">
        <f t="shared" si="18"/>
        <v>0.96060606060606057</v>
      </c>
      <c r="X61" s="36">
        <v>330</v>
      </c>
      <c r="Y61" s="36">
        <f>V61+30</f>
        <v>347</v>
      </c>
      <c r="Z61" s="129">
        <f>Y61/X61</f>
        <v>1.0515151515151515</v>
      </c>
      <c r="AA61" s="166">
        <f>Y61</f>
        <v>347</v>
      </c>
      <c r="AB61" s="165">
        <f>AA61/K61</f>
        <v>1.0515151515151515</v>
      </c>
      <c r="AC61" s="137" t="s">
        <v>453</v>
      </c>
    </row>
    <row r="62" spans="1:29" s="20" customFormat="1" ht="120" customHeight="1" x14ac:dyDescent="0.3">
      <c r="A62" s="207"/>
      <c r="B62" s="189"/>
      <c r="C62" s="189"/>
      <c r="D62" s="189"/>
      <c r="E62" s="190"/>
      <c r="F62" s="189"/>
      <c r="G62" s="189"/>
      <c r="H62" s="59" t="s">
        <v>381</v>
      </c>
      <c r="I62" s="159" t="s">
        <v>3</v>
      </c>
      <c r="J62" s="157" t="s">
        <v>260</v>
      </c>
      <c r="K62" s="58">
        <v>1200</v>
      </c>
      <c r="L62" s="58">
        <v>50</v>
      </c>
      <c r="M62" s="36">
        <v>373</v>
      </c>
      <c r="N62" s="36">
        <v>650</v>
      </c>
      <c r="O62" s="36">
        <v>876</v>
      </c>
      <c r="P62" s="50">
        <f t="shared" si="0"/>
        <v>1.3476923076923077</v>
      </c>
      <c r="Q62" s="36">
        <f>O62</f>
        <v>876</v>
      </c>
      <c r="R62" s="50">
        <f t="shared" si="13"/>
        <v>0.73</v>
      </c>
      <c r="S62" s="36">
        <v>950</v>
      </c>
      <c r="T62" s="26">
        <v>1770</v>
      </c>
      <c r="U62" s="50">
        <f t="shared" si="19"/>
        <v>1.8631578947368421</v>
      </c>
      <c r="V62" s="26">
        <f>T62</f>
        <v>1770</v>
      </c>
      <c r="W62" s="50">
        <f t="shared" si="18"/>
        <v>1.4750000000000001</v>
      </c>
      <c r="X62" s="36">
        <v>1200</v>
      </c>
      <c r="Y62" s="36">
        <f>V62+252</f>
        <v>2022</v>
      </c>
      <c r="Z62" s="129">
        <f>Y62/X62</f>
        <v>1.6850000000000001</v>
      </c>
      <c r="AA62" s="166">
        <f>Y62</f>
        <v>2022</v>
      </c>
      <c r="AB62" s="165">
        <f>AA62/K62</f>
        <v>1.6850000000000001</v>
      </c>
      <c r="AC62" s="173" t="s">
        <v>469</v>
      </c>
    </row>
    <row r="63" spans="1:29" s="20" customFormat="1" ht="120" customHeight="1" x14ac:dyDescent="0.3">
      <c r="A63" s="207"/>
      <c r="B63" s="189"/>
      <c r="C63" s="189"/>
      <c r="D63" s="189">
        <v>3</v>
      </c>
      <c r="E63" s="190" t="s">
        <v>346</v>
      </c>
      <c r="F63" s="189">
        <v>3</v>
      </c>
      <c r="G63" s="189" t="s">
        <v>347</v>
      </c>
      <c r="H63" s="158" t="s">
        <v>348</v>
      </c>
      <c r="I63" s="159" t="s">
        <v>133</v>
      </c>
      <c r="J63" s="157" t="s">
        <v>259</v>
      </c>
      <c r="K63" s="157">
        <v>600</v>
      </c>
      <c r="L63" s="157">
        <v>150</v>
      </c>
      <c r="M63" s="18">
        <v>150</v>
      </c>
      <c r="N63" s="18">
        <v>150</v>
      </c>
      <c r="O63" s="18">
        <v>148</v>
      </c>
      <c r="P63" s="50">
        <f t="shared" si="0"/>
        <v>0.98666666666666669</v>
      </c>
      <c r="Q63" s="133">
        <f>O63+M63</f>
        <v>298</v>
      </c>
      <c r="R63" s="50">
        <f t="shared" si="13"/>
        <v>0.49666666666666665</v>
      </c>
      <c r="S63" s="18">
        <v>150</v>
      </c>
      <c r="T63" s="26">
        <v>150</v>
      </c>
      <c r="U63" s="50">
        <f t="shared" si="19"/>
        <v>1</v>
      </c>
      <c r="V63" s="26">
        <v>450</v>
      </c>
      <c r="W63" s="50">
        <f t="shared" si="18"/>
        <v>0.75</v>
      </c>
      <c r="X63" s="18">
        <v>150</v>
      </c>
      <c r="Y63" s="18">
        <v>150</v>
      </c>
      <c r="Z63" s="129">
        <f t="shared" ref="Z63:Z76" si="20">Y63/X63</f>
        <v>1</v>
      </c>
      <c r="AA63" s="26">
        <f>Y63+V63</f>
        <v>600</v>
      </c>
      <c r="AB63" s="129">
        <f>AA63/K63</f>
        <v>1</v>
      </c>
      <c r="AC63" s="175" t="s">
        <v>418</v>
      </c>
    </row>
    <row r="64" spans="1:29" s="20" customFormat="1" ht="120" customHeight="1" x14ac:dyDescent="0.3">
      <c r="A64" s="207"/>
      <c r="B64" s="189"/>
      <c r="C64" s="189"/>
      <c r="D64" s="189"/>
      <c r="E64" s="190"/>
      <c r="F64" s="189"/>
      <c r="G64" s="189"/>
      <c r="H64" s="158" t="s">
        <v>349</v>
      </c>
      <c r="I64" s="159" t="s">
        <v>142</v>
      </c>
      <c r="J64" s="157" t="s">
        <v>259</v>
      </c>
      <c r="K64" s="157">
        <v>32</v>
      </c>
      <c r="L64" s="157">
        <v>8</v>
      </c>
      <c r="M64" s="18">
        <v>8</v>
      </c>
      <c r="N64" s="18">
        <v>9</v>
      </c>
      <c r="O64" s="18">
        <v>9</v>
      </c>
      <c r="P64" s="50">
        <f t="shared" si="0"/>
        <v>1</v>
      </c>
      <c r="Q64" s="133">
        <f>O64+M64</f>
        <v>17</v>
      </c>
      <c r="R64" s="50">
        <f t="shared" si="13"/>
        <v>0.53125</v>
      </c>
      <c r="S64" s="18">
        <v>9</v>
      </c>
      <c r="T64" s="26">
        <v>9</v>
      </c>
      <c r="U64" s="50">
        <f t="shared" si="19"/>
        <v>1</v>
      </c>
      <c r="V64" s="26">
        <f>Q64+T64</f>
        <v>26</v>
      </c>
      <c r="W64" s="50">
        <f t="shared" si="18"/>
        <v>0.8125</v>
      </c>
      <c r="X64" s="18">
        <v>6</v>
      </c>
      <c r="Y64" s="18">
        <v>7</v>
      </c>
      <c r="Z64" s="129">
        <f t="shared" si="20"/>
        <v>1.1666666666666667</v>
      </c>
      <c r="AA64" s="163">
        <f>V64+Y64</f>
        <v>33</v>
      </c>
      <c r="AB64" s="129">
        <f>AA64/K64</f>
        <v>1.03125</v>
      </c>
      <c r="AC64" s="137" t="s">
        <v>454</v>
      </c>
    </row>
    <row r="65" spans="1:29" s="20" customFormat="1" ht="120" customHeight="1" x14ac:dyDescent="0.3">
      <c r="A65" s="207">
        <v>8</v>
      </c>
      <c r="B65" s="189" t="s">
        <v>350</v>
      </c>
      <c r="C65" s="191" t="s">
        <v>351</v>
      </c>
      <c r="D65" s="189">
        <v>1</v>
      </c>
      <c r="E65" s="190" t="s">
        <v>58</v>
      </c>
      <c r="F65" s="189">
        <v>1</v>
      </c>
      <c r="G65" s="189" t="s">
        <v>352</v>
      </c>
      <c r="H65" s="158" t="s">
        <v>59</v>
      </c>
      <c r="I65" s="159" t="s">
        <v>157</v>
      </c>
      <c r="J65" s="60">
        <v>0.90600000000000003</v>
      </c>
      <c r="K65" s="61">
        <v>0.91500000000000004</v>
      </c>
      <c r="L65" s="61">
        <v>0.90800000000000003</v>
      </c>
      <c r="M65" s="38">
        <v>0.96</v>
      </c>
      <c r="N65" s="38">
        <v>0.91</v>
      </c>
      <c r="O65" s="38">
        <v>0.95799999999999996</v>
      </c>
      <c r="P65" s="50">
        <f t="shared" si="0"/>
        <v>1.0527472527472526</v>
      </c>
      <c r="Q65" s="50">
        <f t="shared" ref="Q65:Q76" si="21">O65</f>
        <v>0.95799999999999996</v>
      </c>
      <c r="R65" s="50">
        <f t="shared" si="13"/>
        <v>1.0469945355191257</v>
      </c>
      <c r="S65" s="38">
        <v>0.91300000000000003</v>
      </c>
      <c r="T65" s="168">
        <v>0.97699999999999998</v>
      </c>
      <c r="U65" s="50">
        <f t="shared" si="19"/>
        <v>1.0700985761226725</v>
      </c>
      <c r="V65" s="50">
        <f>T65</f>
        <v>0.97699999999999998</v>
      </c>
      <c r="W65" s="50">
        <f>T65/K65</f>
        <v>1.06775956284153</v>
      </c>
      <c r="X65" s="38">
        <v>0.91500000000000004</v>
      </c>
      <c r="Y65" s="21">
        <v>0.11</v>
      </c>
      <c r="Z65" s="129">
        <f t="shared" si="20"/>
        <v>0.12021857923497267</v>
      </c>
      <c r="AA65" s="156">
        <f t="shared" ref="AA65:AA76" si="22">Y65</f>
        <v>0.11</v>
      </c>
      <c r="AB65" s="129">
        <f>AA65/K65</f>
        <v>0.12021857923497267</v>
      </c>
      <c r="AC65" s="137" t="s">
        <v>455</v>
      </c>
    </row>
    <row r="66" spans="1:29" s="20" customFormat="1" ht="120" customHeight="1" x14ac:dyDescent="0.3">
      <c r="A66" s="207"/>
      <c r="B66" s="189"/>
      <c r="C66" s="191"/>
      <c r="D66" s="189"/>
      <c r="E66" s="190"/>
      <c r="F66" s="189"/>
      <c r="G66" s="189"/>
      <c r="H66" s="159" t="s">
        <v>354</v>
      </c>
      <c r="I66" s="159" t="s">
        <v>60</v>
      </c>
      <c r="J66" s="157" t="s">
        <v>279</v>
      </c>
      <c r="K66" s="49">
        <v>1</v>
      </c>
      <c r="L66" s="49">
        <v>1</v>
      </c>
      <c r="M66" s="21">
        <v>1</v>
      </c>
      <c r="N66" s="21">
        <v>1</v>
      </c>
      <c r="O66" s="21">
        <v>1</v>
      </c>
      <c r="P66" s="50">
        <f t="shared" si="0"/>
        <v>1</v>
      </c>
      <c r="Q66" s="50">
        <f t="shared" si="21"/>
        <v>1</v>
      </c>
      <c r="R66" s="50">
        <f t="shared" si="13"/>
        <v>1</v>
      </c>
      <c r="S66" s="21">
        <v>1</v>
      </c>
      <c r="T66" s="168">
        <v>1</v>
      </c>
      <c r="U66" s="50">
        <f t="shared" ref="U66:U67" si="23">T66/K66</f>
        <v>1</v>
      </c>
      <c r="V66" s="50">
        <v>1</v>
      </c>
      <c r="W66" s="50">
        <f>T66/K66</f>
        <v>1</v>
      </c>
      <c r="X66" s="21">
        <v>1</v>
      </c>
      <c r="Y66" s="21">
        <v>0.25</v>
      </c>
      <c r="Z66" s="129">
        <f t="shared" si="20"/>
        <v>0.25</v>
      </c>
      <c r="AA66" s="156">
        <f t="shared" si="22"/>
        <v>0.25</v>
      </c>
      <c r="AB66" s="129">
        <f>AA66/K66</f>
        <v>0.25</v>
      </c>
      <c r="AC66" s="137" t="s">
        <v>456</v>
      </c>
    </row>
    <row r="67" spans="1:29" s="20" customFormat="1" ht="120" customHeight="1" x14ac:dyDescent="0.3">
      <c r="A67" s="207"/>
      <c r="B67" s="189"/>
      <c r="C67" s="191"/>
      <c r="D67" s="189"/>
      <c r="E67" s="190"/>
      <c r="F67" s="189"/>
      <c r="G67" s="189"/>
      <c r="H67" s="158" t="s">
        <v>61</v>
      </c>
      <c r="I67" s="159" t="s">
        <v>99</v>
      </c>
      <c r="J67" s="49">
        <v>0.1</v>
      </c>
      <c r="K67" s="49">
        <v>0.1</v>
      </c>
      <c r="L67" s="49">
        <v>0.1</v>
      </c>
      <c r="M67" s="21">
        <v>0.09</v>
      </c>
      <c r="N67" s="21">
        <v>0.1</v>
      </c>
      <c r="O67" s="21">
        <v>0.67</v>
      </c>
      <c r="P67" s="50">
        <f t="shared" si="0"/>
        <v>6.7</v>
      </c>
      <c r="Q67" s="50">
        <f t="shared" si="21"/>
        <v>0.67</v>
      </c>
      <c r="R67" s="50">
        <f t="shared" si="13"/>
        <v>6.7</v>
      </c>
      <c r="S67" s="21">
        <v>0.1</v>
      </c>
      <c r="T67" s="168">
        <v>0</v>
      </c>
      <c r="U67" s="50">
        <f t="shared" si="23"/>
        <v>0</v>
      </c>
      <c r="V67" s="50">
        <v>0</v>
      </c>
      <c r="W67" s="50">
        <f>T67/K67</f>
        <v>0</v>
      </c>
      <c r="X67" s="21">
        <v>0.1</v>
      </c>
      <c r="Y67" s="21">
        <v>0</v>
      </c>
      <c r="Z67" s="183">
        <f t="shared" si="20"/>
        <v>0</v>
      </c>
      <c r="AA67" s="156">
        <f t="shared" si="22"/>
        <v>0</v>
      </c>
      <c r="AB67" s="129">
        <f>AA67/K67</f>
        <v>0</v>
      </c>
      <c r="AC67" s="137" t="s">
        <v>457</v>
      </c>
    </row>
    <row r="68" spans="1:29" s="20" customFormat="1" ht="120" customHeight="1" x14ac:dyDescent="0.3">
      <c r="A68" s="207"/>
      <c r="B68" s="189"/>
      <c r="C68" s="191"/>
      <c r="D68" s="157">
        <v>2</v>
      </c>
      <c r="E68" s="158" t="s">
        <v>62</v>
      </c>
      <c r="F68" s="157">
        <v>2</v>
      </c>
      <c r="G68" s="157" t="s">
        <v>60</v>
      </c>
      <c r="H68" s="158" t="s">
        <v>355</v>
      </c>
      <c r="I68" s="159" t="s">
        <v>60</v>
      </c>
      <c r="J68" s="52" t="s">
        <v>259</v>
      </c>
      <c r="K68" s="49">
        <v>1</v>
      </c>
      <c r="L68" s="49">
        <v>0.43</v>
      </c>
      <c r="M68" s="21">
        <v>0.43</v>
      </c>
      <c r="N68" s="21">
        <v>0.6</v>
      </c>
      <c r="O68" s="21">
        <v>0.83</v>
      </c>
      <c r="P68" s="50">
        <f t="shared" si="0"/>
        <v>1.3833333333333333</v>
      </c>
      <c r="Q68" s="50">
        <f t="shared" si="21"/>
        <v>0.83</v>
      </c>
      <c r="R68" s="50">
        <f t="shared" si="13"/>
        <v>0.83</v>
      </c>
      <c r="S68" s="21">
        <v>0.8</v>
      </c>
      <c r="T68" s="168">
        <v>1</v>
      </c>
      <c r="U68" s="50">
        <f t="shared" ref="U68:U76" si="24">T68/S68</f>
        <v>1.25</v>
      </c>
      <c r="V68" s="50">
        <v>1</v>
      </c>
      <c r="W68" s="50">
        <f t="shared" ref="W68:W76" si="25">V68/K68</f>
        <v>1</v>
      </c>
      <c r="X68" s="21">
        <v>1</v>
      </c>
      <c r="Y68" s="21">
        <v>0.25</v>
      </c>
      <c r="Z68" s="183">
        <f t="shared" si="20"/>
        <v>0.25</v>
      </c>
      <c r="AA68" s="156">
        <f t="shared" si="22"/>
        <v>0.25</v>
      </c>
      <c r="AB68" s="129">
        <f>AA68/K68</f>
        <v>0.25</v>
      </c>
      <c r="AC68" s="137" t="s">
        <v>458</v>
      </c>
    </row>
    <row r="69" spans="1:29" s="20" customFormat="1" ht="120" customHeight="1" x14ac:dyDescent="0.3">
      <c r="A69" s="207"/>
      <c r="B69" s="189"/>
      <c r="C69" s="191"/>
      <c r="D69" s="157">
        <v>3</v>
      </c>
      <c r="E69" s="158" t="s">
        <v>63</v>
      </c>
      <c r="F69" s="157">
        <v>3</v>
      </c>
      <c r="G69" s="157" t="s">
        <v>60</v>
      </c>
      <c r="H69" s="158" t="s">
        <v>64</v>
      </c>
      <c r="I69" s="159" t="s">
        <v>60</v>
      </c>
      <c r="J69" s="157" t="s">
        <v>317</v>
      </c>
      <c r="K69" s="49">
        <v>1</v>
      </c>
      <c r="L69" s="49">
        <v>0.6</v>
      </c>
      <c r="M69" s="21">
        <v>0.6</v>
      </c>
      <c r="N69" s="21">
        <v>0.75</v>
      </c>
      <c r="O69" s="21">
        <v>0.85</v>
      </c>
      <c r="P69" s="50">
        <f t="shared" si="0"/>
        <v>1.1333333333333333</v>
      </c>
      <c r="Q69" s="50">
        <f t="shared" si="21"/>
        <v>0.85</v>
      </c>
      <c r="R69" s="50">
        <f t="shared" si="13"/>
        <v>0.85</v>
      </c>
      <c r="S69" s="21">
        <v>0.9</v>
      </c>
      <c r="T69" s="168">
        <v>0.91239999999999999</v>
      </c>
      <c r="U69" s="50">
        <f t="shared" si="24"/>
        <v>1.0137777777777777</v>
      </c>
      <c r="V69" s="50">
        <f>T69</f>
        <v>0.91239999999999999</v>
      </c>
      <c r="W69" s="50">
        <f t="shared" si="25"/>
        <v>0.91239999999999999</v>
      </c>
      <c r="X69" s="21">
        <v>1</v>
      </c>
      <c r="Y69" s="21">
        <v>0.25</v>
      </c>
      <c r="Z69" s="183">
        <f t="shared" si="20"/>
        <v>0.25</v>
      </c>
      <c r="AA69" s="156">
        <f t="shared" si="22"/>
        <v>0.25</v>
      </c>
      <c r="AB69" s="129">
        <f>AA69/K69</f>
        <v>0.25</v>
      </c>
      <c r="AC69" s="137" t="s">
        <v>459</v>
      </c>
    </row>
    <row r="70" spans="1:29" s="20" customFormat="1" ht="120" customHeight="1" x14ac:dyDescent="0.3">
      <c r="A70" s="207"/>
      <c r="B70" s="189"/>
      <c r="C70" s="191"/>
      <c r="D70" s="157">
        <v>4</v>
      </c>
      <c r="E70" s="158" t="s">
        <v>357</v>
      </c>
      <c r="F70" s="157">
        <v>4</v>
      </c>
      <c r="G70" s="157" t="s">
        <v>66</v>
      </c>
      <c r="H70" s="158" t="s">
        <v>67</v>
      </c>
      <c r="I70" s="159" t="s">
        <v>66</v>
      </c>
      <c r="J70" s="157" t="s">
        <v>279</v>
      </c>
      <c r="K70" s="49">
        <v>1</v>
      </c>
      <c r="L70" s="49">
        <v>1</v>
      </c>
      <c r="M70" s="21">
        <v>0.99</v>
      </c>
      <c r="N70" s="21">
        <v>1</v>
      </c>
      <c r="O70" s="21">
        <v>1</v>
      </c>
      <c r="P70" s="50">
        <f t="shared" si="0"/>
        <v>1</v>
      </c>
      <c r="Q70" s="50">
        <f t="shared" si="21"/>
        <v>1</v>
      </c>
      <c r="R70" s="50">
        <f t="shared" si="13"/>
        <v>1</v>
      </c>
      <c r="S70" s="21">
        <v>1</v>
      </c>
      <c r="T70" s="168">
        <v>1</v>
      </c>
      <c r="U70" s="50">
        <f t="shared" si="24"/>
        <v>1</v>
      </c>
      <c r="V70" s="50">
        <v>1</v>
      </c>
      <c r="W70" s="50">
        <f t="shared" si="25"/>
        <v>1</v>
      </c>
      <c r="X70" s="21">
        <v>1</v>
      </c>
      <c r="Y70" s="21">
        <v>0.25</v>
      </c>
      <c r="Z70" s="183">
        <f t="shared" si="20"/>
        <v>0.25</v>
      </c>
      <c r="AA70" s="156">
        <f t="shared" si="22"/>
        <v>0.25</v>
      </c>
      <c r="AB70" s="129">
        <f>AA70/K70</f>
        <v>0.25</v>
      </c>
      <c r="AC70" s="137" t="s">
        <v>460</v>
      </c>
    </row>
    <row r="71" spans="1:29" s="20" customFormat="1" ht="120" customHeight="1" x14ac:dyDescent="0.3">
      <c r="A71" s="207"/>
      <c r="B71" s="189"/>
      <c r="C71" s="191"/>
      <c r="D71" s="157">
        <v>5</v>
      </c>
      <c r="E71" s="158" t="s">
        <v>68</v>
      </c>
      <c r="F71" s="157">
        <v>5</v>
      </c>
      <c r="G71" s="157" t="s">
        <v>358</v>
      </c>
      <c r="H71" s="158" t="s">
        <v>359</v>
      </c>
      <c r="I71" s="159" t="s">
        <v>60</v>
      </c>
      <c r="J71" s="157" t="s">
        <v>259</v>
      </c>
      <c r="K71" s="50">
        <v>1</v>
      </c>
      <c r="L71" s="50">
        <v>1</v>
      </c>
      <c r="M71" s="50">
        <v>1</v>
      </c>
      <c r="N71" s="50">
        <v>1</v>
      </c>
      <c r="O71" s="50">
        <v>1</v>
      </c>
      <c r="P71" s="50">
        <f t="shared" ref="P71:P76" si="26">O71/N71</f>
        <v>1</v>
      </c>
      <c r="Q71" s="50">
        <f t="shared" si="21"/>
        <v>1</v>
      </c>
      <c r="R71" s="50">
        <f t="shared" si="13"/>
        <v>1</v>
      </c>
      <c r="S71" s="50">
        <v>1</v>
      </c>
      <c r="T71" s="168">
        <v>1</v>
      </c>
      <c r="U71" s="50">
        <f t="shared" si="24"/>
        <v>1</v>
      </c>
      <c r="V71" s="50">
        <v>1</v>
      </c>
      <c r="W71" s="50">
        <f t="shared" si="25"/>
        <v>1</v>
      </c>
      <c r="X71" s="50">
        <v>1</v>
      </c>
      <c r="Y71" s="50">
        <v>0</v>
      </c>
      <c r="Z71" s="183">
        <f t="shared" si="20"/>
        <v>0</v>
      </c>
      <c r="AA71" s="167">
        <f t="shared" si="22"/>
        <v>0</v>
      </c>
      <c r="AB71" s="129">
        <f>AA71/K71</f>
        <v>0</v>
      </c>
      <c r="AC71" s="137" t="s">
        <v>475</v>
      </c>
    </row>
    <row r="72" spans="1:29" s="20" customFormat="1" ht="120" customHeight="1" x14ac:dyDescent="0.3">
      <c r="A72" s="207"/>
      <c r="B72" s="189"/>
      <c r="C72" s="191"/>
      <c r="D72" s="189">
        <v>6</v>
      </c>
      <c r="E72" s="190" t="s">
        <v>69</v>
      </c>
      <c r="F72" s="189">
        <v>6</v>
      </c>
      <c r="G72" s="189" t="s">
        <v>361</v>
      </c>
      <c r="H72" s="158" t="s">
        <v>362</v>
      </c>
      <c r="I72" s="159" t="s">
        <v>155</v>
      </c>
      <c r="J72" s="157" t="s">
        <v>322</v>
      </c>
      <c r="K72" s="49">
        <v>0.9</v>
      </c>
      <c r="L72" s="49">
        <v>0.9</v>
      </c>
      <c r="M72" s="21">
        <v>0.94</v>
      </c>
      <c r="N72" s="21">
        <v>0.9</v>
      </c>
      <c r="O72" s="21">
        <v>1</v>
      </c>
      <c r="P72" s="50">
        <f t="shared" si="26"/>
        <v>1.1111111111111112</v>
      </c>
      <c r="Q72" s="50">
        <f t="shared" si="21"/>
        <v>1</v>
      </c>
      <c r="R72" s="50">
        <f t="shared" si="13"/>
        <v>1.1111111111111112</v>
      </c>
      <c r="S72" s="21">
        <v>0.9</v>
      </c>
      <c r="T72" s="168">
        <v>1.1599999999999999</v>
      </c>
      <c r="U72" s="50">
        <f t="shared" si="24"/>
        <v>1.2888888888888888</v>
      </c>
      <c r="V72" s="50">
        <v>1.1599999999999999</v>
      </c>
      <c r="W72" s="50">
        <f t="shared" si="25"/>
        <v>1.2888888888888888</v>
      </c>
      <c r="X72" s="21">
        <v>0.9</v>
      </c>
      <c r="Y72" s="21">
        <v>0.21</v>
      </c>
      <c r="Z72" s="183">
        <f t="shared" si="20"/>
        <v>0.23333333333333331</v>
      </c>
      <c r="AA72" s="156">
        <f t="shared" si="22"/>
        <v>0.21</v>
      </c>
      <c r="AB72" s="129">
        <f>AA72/K72</f>
        <v>0.23333333333333331</v>
      </c>
      <c r="AC72" s="137" t="s">
        <v>461</v>
      </c>
    </row>
    <row r="73" spans="1:29" s="20" customFormat="1" ht="120" customHeight="1" x14ac:dyDescent="0.3">
      <c r="A73" s="207"/>
      <c r="B73" s="189"/>
      <c r="C73" s="191"/>
      <c r="D73" s="189"/>
      <c r="E73" s="190"/>
      <c r="F73" s="189"/>
      <c r="G73" s="189"/>
      <c r="H73" s="158" t="s">
        <v>70</v>
      </c>
      <c r="I73" s="159" t="s">
        <v>155</v>
      </c>
      <c r="J73" s="157" t="s">
        <v>260</v>
      </c>
      <c r="K73" s="49">
        <v>0.8</v>
      </c>
      <c r="L73" s="52">
        <v>0.8</v>
      </c>
      <c r="M73" s="22">
        <v>0.94</v>
      </c>
      <c r="N73" s="22">
        <v>0.8</v>
      </c>
      <c r="O73" s="22">
        <v>0.96</v>
      </c>
      <c r="P73" s="50">
        <f t="shared" si="26"/>
        <v>1.2</v>
      </c>
      <c r="Q73" s="50">
        <f t="shared" si="21"/>
        <v>0.96</v>
      </c>
      <c r="R73" s="50">
        <f t="shared" si="13"/>
        <v>1.2</v>
      </c>
      <c r="S73" s="22">
        <v>0.8</v>
      </c>
      <c r="T73" s="168">
        <v>0.96</v>
      </c>
      <c r="U73" s="50">
        <f t="shared" si="24"/>
        <v>1.2</v>
      </c>
      <c r="V73" s="50">
        <v>0.96</v>
      </c>
      <c r="W73" s="50">
        <f t="shared" si="25"/>
        <v>1.2</v>
      </c>
      <c r="X73" s="22">
        <v>0.8</v>
      </c>
      <c r="Y73" s="22">
        <v>0.96399999999999997</v>
      </c>
      <c r="Z73" s="183">
        <f t="shared" si="20"/>
        <v>1.2049999999999998</v>
      </c>
      <c r="AA73" s="156">
        <f t="shared" si="22"/>
        <v>0.96399999999999997</v>
      </c>
      <c r="AB73" s="129">
        <f>AA73/K73</f>
        <v>1.2049999999999998</v>
      </c>
      <c r="AC73" s="137" t="s">
        <v>462</v>
      </c>
    </row>
    <row r="74" spans="1:29" s="20" customFormat="1" ht="120" customHeight="1" x14ac:dyDescent="0.3">
      <c r="A74" s="207"/>
      <c r="B74" s="189"/>
      <c r="C74" s="191"/>
      <c r="D74" s="157">
        <v>7</v>
      </c>
      <c r="E74" s="158" t="s">
        <v>363</v>
      </c>
      <c r="F74" s="157">
        <v>7</v>
      </c>
      <c r="G74" s="157" t="s">
        <v>364</v>
      </c>
      <c r="H74" s="158" t="s">
        <v>71</v>
      </c>
      <c r="I74" s="159" t="s">
        <v>153</v>
      </c>
      <c r="J74" s="49">
        <v>0.9</v>
      </c>
      <c r="K74" s="49">
        <v>0.96</v>
      </c>
      <c r="L74" s="117">
        <v>0.91</v>
      </c>
      <c r="M74" s="118">
        <v>0.91</v>
      </c>
      <c r="N74" s="118">
        <v>0.92</v>
      </c>
      <c r="O74" s="118">
        <v>0.92</v>
      </c>
      <c r="P74" s="50">
        <f t="shared" si="26"/>
        <v>1</v>
      </c>
      <c r="Q74" s="50">
        <f t="shared" si="21"/>
        <v>0.92</v>
      </c>
      <c r="R74" s="50">
        <f t="shared" si="13"/>
        <v>0.95833333333333337</v>
      </c>
      <c r="S74" s="118">
        <v>0.94</v>
      </c>
      <c r="T74" s="168">
        <v>0.94</v>
      </c>
      <c r="U74" s="50">
        <f t="shared" si="24"/>
        <v>1</v>
      </c>
      <c r="V74" s="50">
        <f>T74</f>
        <v>0.94</v>
      </c>
      <c r="W74" s="50">
        <f t="shared" si="25"/>
        <v>0.97916666666666663</v>
      </c>
      <c r="X74" s="118">
        <v>0.96</v>
      </c>
      <c r="Y74" s="118">
        <v>0.94</v>
      </c>
      <c r="Z74" s="183">
        <f t="shared" si="20"/>
        <v>0.97916666666666663</v>
      </c>
      <c r="AA74" s="167">
        <f t="shared" si="22"/>
        <v>0.94</v>
      </c>
      <c r="AB74" s="129">
        <f>AA74/K74</f>
        <v>0.97916666666666663</v>
      </c>
      <c r="AC74" s="137" t="s">
        <v>463</v>
      </c>
    </row>
    <row r="75" spans="1:29" s="20" customFormat="1" ht="120" customHeight="1" x14ac:dyDescent="0.3">
      <c r="A75" s="207"/>
      <c r="B75" s="189"/>
      <c r="C75" s="191"/>
      <c r="D75" s="157">
        <v>8</v>
      </c>
      <c r="E75" s="158" t="s">
        <v>72</v>
      </c>
      <c r="F75" s="157">
        <v>8</v>
      </c>
      <c r="G75" s="157" t="s">
        <v>366</v>
      </c>
      <c r="H75" s="158" t="s">
        <v>73</v>
      </c>
      <c r="I75" s="159" t="s">
        <v>154</v>
      </c>
      <c r="J75" s="157" t="s">
        <v>260</v>
      </c>
      <c r="K75" s="157">
        <v>7</v>
      </c>
      <c r="L75" s="157">
        <v>2</v>
      </c>
      <c r="M75" s="18">
        <v>2</v>
      </c>
      <c r="N75" s="18">
        <v>4</v>
      </c>
      <c r="O75" s="18">
        <v>4</v>
      </c>
      <c r="P75" s="50">
        <f t="shared" si="26"/>
        <v>1</v>
      </c>
      <c r="Q75" s="133">
        <f t="shared" si="21"/>
        <v>4</v>
      </c>
      <c r="R75" s="50">
        <f t="shared" si="13"/>
        <v>0.5714285714285714</v>
      </c>
      <c r="S75" s="18">
        <v>6</v>
      </c>
      <c r="T75" s="26">
        <v>5</v>
      </c>
      <c r="U75" s="50">
        <f t="shared" si="24"/>
        <v>0.83333333333333337</v>
      </c>
      <c r="V75" s="26">
        <f>T75</f>
        <v>5</v>
      </c>
      <c r="W75" s="50">
        <f t="shared" si="25"/>
        <v>0.7142857142857143</v>
      </c>
      <c r="X75" s="18">
        <v>7</v>
      </c>
      <c r="Y75" s="18">
        <f>V75+1</f>
        <v>6</v>
      </c>
      <c r="Z75" s="183">
        <f t="shared" si="20"/>
        <v>0.8571428571428571</v>
      </c>
      <c r="AA75" s="163">
        <f t="shared" si="22"/>
        <v>6</v>
      </c>
      <c r="AB75" s="129">
        <f>AA75/K75</f>
        <v>0.8571428571428571</v>
      </c>
      <c r="AC75" s="137" t="s">
        <v>464</v>
      </c>
    </row>
    <row r="76" spans="1:29" s="20" customFormat="1" ht="120" customHeight="1" thickBot="1" x14ac:dyDescent="0.35">
      <c r="A76" s="215"/>
      <c r="B76" s="216"/>
      <c r="C76" s="217"/>
      <c r="D76" s="161">
        <v>9</v>
      </c>
      <c r="E76" s="122" t="s">
        <v>74</v>
      </c>
      <c r="F76" s="161">
        <v>9</v>
      </c>
      <c r="G76" s="161" t="s">
        <v>1</v>
      </c>
      <c r="H76" s="122" t="s">
        <v>75</v>
      </c>
      <c r="I76" s="162" t="s">
        <v>1</v>
      </c>
      <c r="J76" s="64">
        <v>0.75</v>
      </c>
      <c r="K76" s="187">
        <v>0.85</v>
      </c>
      <c r="L76" s="71">
        <v>0.78</v>
      </c>
      <c r="M76" s="127">
        <v>0.89659999999999995</v>
      </c>
      <c r="N76" s="40">
        <v>0.8</v>
      </c>
      <c r="O76" s="40">
        <v>0.88</v>
      </c>
      <c r="P76" s="134">
        <f t="shared" si="26"/>
        <v>1.0999999999999999</v>
      </c>
      <c r="Q76" s="134">
        <f t="shared" si="21"/>
        <v>0.88</v>
      </c>
      <c r="R76" s="134">
        <f t="shared" si="13"/>
        <v>1.0352941176470589</v>
      </c>
      <c r="S76" s="40">
        <v>0.83</v>
      </c>
      <c r="T76" s="188">
        <v>0.88</v>
      </c>
      <c r="U76" s="134">
        <f t="shared" si="24"/>
        <v>1.0602409638554218</v>
      </c>
      <c r="V76" s="134">
        <v>0.88</v>
      </c>
      <c r="W76" s="134">
        <f t="shared" si="25"/>
        <v>1.0352941176470589</v>
      </c>
      <c r="X76" s="40">
        <v>0.85</v>
      </c>
      <c r="Y76" s="40">
        <v>1</v>
      </c>
      <c r="Z76" s="184">
        <f t="shared" si="20"/>
        <v>1.1764705882352942</v>
      </c>
      <c r="AA76" s="171">
        <f t="shared" si="22"/>
        <v>1</v>
      </c>
      <c r="AB76" s="132">
        <f>AA76/K76</f>
        <v>1.1764705882352942</v>
      </c>
      <c r="AC76" s="138" t="s">
        <v>465</v>
      </c>
    </row>
    <row r="77" spans="1:29" s="20" customFormat="1" ht="26.4" customHeight="1" x14ac:dyDescent="0.3">
      <c r="A77" s="141"/>
      <c r="B77" s="141"/>
      <c r="C77" s="142"/>
      <c r="D77" s="141"/>
      <c r="E77" s="143"/>
      <c r="F77" s="141"/>
      <c r="G77" s="141"/>
      <c r="H77" s="143"/>
      <c r="I77" s="141"/>
      <c r="J77" s="144"/>
      <c r="K77" s="145"/>
      <c r="L77" s="146"/>
      <c r="M77" s="147"/>
      <c r="N77" s="136"/>
      <c r="O77" s="136"/>
      <c r="P77" s="135"/>
      <c r="Q77" s="135"/>
      <c r="R77" s="135"/>
      <c r="S77" s="148"/>
      <c r="T77" s="149"/>
      <c r="U77" s="150"/>
      <c r="V77" s="150"/>
      <c r="W77" s="150"/>
      <c r="X77" s="136"/>
      <c r="Y77" s="136"/>
      <c r="Z77" s="151"/>
      <c r="AA77" s="151"/>
      <c r="AB77" s="151"/>
      <c r="AC77" s="151"/>
    </row>
    <row r="78" spans="1:29" x14ac:dyDescent="0.25">
      <c r="N78" s="222" t="s">
        <v>389</v>
      </c>
      <c r="O78" s="222"/>
      <c r="P78" s="48"/>
    </row>
    <row r="79" spans="1:29" x14ac:dyDescent="0.25">
      <c r="N79" s="223" t="s">
        <v>390</v>
      </c>
      <c r="O79" s="224">
        <f>AVERAGE(AB5:AB12)</f>
        <v>1.2885881445287386</v>
      </c>
      <c r="P79" s="48"/>
    </row>
    <row r="80" spans="1:29" x14ac:dyDescent="0.25">
      <c r="N80" s="223" t="s">
        <v>391</v>
      </c>
      <c r="O80" s="224">
        <f>AVERAGE(AB13:AB21)</f>
        <v>1.0129763643349987</v>
      </c>
      <c r="P80" s="48"/>
    </row>
    <row r="81" spans="14:16" x14ac:dyDescent="0.25">
      <c r="N81" s="223" t="s">
        <v>392</v>
      </c>
      <c r="O81" s="224">
        <f>AVERAGE(AB22:AB36)</f>
        <v>1.0851865682567672</v>
      </c>
      <c r="P81" s="48"/>
    </row>
    <row r="82" spans="14:16" x14ac:dyDescent="0.25">
      <c r="N82" s="223" t="s">
        <v>393</v>
      </c>
      <c r="O82" s="224">
        <f>AVERAGE(AB37:AB39)</f>
        <v>1.0966448144583334</v>
      </c>
      <c r="P82" s="48"/>
    </row>
    <row r="83" spans="14:16" x14ac:dyDescent="0.25">
      <c r="N83" s="223" t="s">
        <v>394</v>
      </c>
      <c r="O83" s="224">
        <f>AVERAGE(AB40:AB44)</f>
        <v>0.63948697999662552</v>
      </c>
      <c r="P83" s="48"/>
    </row>
    <row r="84" spans="14:16" x14ac:dyDescent="0.25">
      <c r="N84" s="223" t="s">
        <v>395</v>
      </c>
      <c r="O84" s="224">
        <f>AVERAGE(AB45:AB54)</f>
        <v>0.97834203662224906</v>
      </c>
      <c r="P84" s="48"/>
    </row>
    <row r="85" spans="14:16" x14ac:dyDescent="0.25">
      <c r="N85" s="223" t="s">
        <v>396</v>
      </c>
      <c r="O85" s="224">
        <f>AVERAGE(AB55:AB64)</f>
        <v>1.007953611148084</v>
      </c>
      <c r="P85" s="48"/>
    </row>
    <row r="86" spans="14:16" x14ac:dyDescent="0.25">
      <c r="N86" s="223" t="s">
        <v>397</v>
      </c>
      <c r="O86" s="224">
        <f>AVERAGE(AB65:AB76)</f>
        <v>0.46427766871776033</v>
      </c>
      <c r="P86" s="48"/>
    </row>
    <row r="87" spans="14:16" x14ac:dyDescent="0.25">
      <c r="N87" s="223" t="s">
        <v>398</v>
      </c>
      <c r="O87" s="224">
        <f>AVERAGE(O79:O86)</f>
        <v>0.94668202350794461</v>
      </c>
      <c r="P87" s="48"/>
    </row>
  </sheetData>
  <autoFilter ref="A4:AE76" xr:uid="{A20A82E7-32A5-44A7-8C4A-27A970CA5759}"/>
  <mergeCells count="105">
    <mergeCell ref="N78:O78"/>
    <mergeCell ref="F1:AC1"/>
    <mergeCell ref="A65:A76"/>
    <mergeCell ref="B65:B76"/>
    <mergeCell ref="C65:C76"/>
    <mergeCell ref="D65:D67"/>
    <mergeCell ref="E65:E67"/>
    <mergeCell ref="F65:F67"/>
    <mergeCell ref="D47:D49"/>
    <mergeCell ref="E47:E49"/>
    <mergeCell ref="F47:F49"/>
    <mergeCell ref="A55:A64"/>
    <mergeCell ref="B55:B64"/>
    <mergeCell ref="C55:C64"/>
    <mergeCell ref="D55:D58"/>
    <mergeCell ref="E55:E58"/>
    <mergeCell ref="F55:F58"/>
    <mergeCell ref="D63:D64"/>
    <mergeCell ref="E63:E64"/>
    <mergeCell ref="F63:F64"/>
    <mergeCell ref="G63:G64"/>
    <mergeCell ref="G65:G67"/>
    <mergeCell ref="D72:D73"/>
    <mergeCell ref="E72:E73"/>
    <mergeCell ref="F72:F73"/>
    <mergeCell ref="G72:G73"/>
    <mergeCell ref="G47:G49"/>
    <mergeCell ref="G45:G46"/>
    <mergeCell ref="D50:D51"/>
    <mergeCell ref="E50:E51"/>
    <mergeCell ref="F50:F51"/>
    <mergeCell ref="G55:G58"/>
    <mergeCell ref="D59:D62"/>
    <mergeCell ref="E59:E62"/>
    <mergeCell ref="F59:F62"/>
    <mergeCell ref="G59:G62"/>
    <mergeCell ref="A13:A21"/>
    <mergeCell ref="B13:B21"/>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G50:G51"/>
    <mergeCell ref="D52:D53"/>
    <mergeCell ref="E52:E53"/>
    <mergeCell ref="F52:F53"/>
    <mergeCell ref="G52:G53"/>
    <mergeCell ref="F45:F46"/>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C13:C21"/>
    <mergeCell ref="D13:D15"/>
    <mergeCell ref="E13:E15"/>
    <mergeCell ref="F13:F15"/>
    <mergeCell ref="G13:G15"/>
    <mergeCell ref="A1:E3"/>
    <mergeCell ref="A5:A12"/>
    <mergeCell ref="B5:B12"/>
    <mergeCell ref="C5:C12"/>
    <mergeCell ref="D5:D7"/>
    <mergeCell ref="E5:E7"/>
    <mergeCell ref="F5:F7"/>
    <mergeCell ref="G5:G7"/>
    <mergeCell ref="D8:D11"/>
    <mergeCell ref="D16:D18"/>
    <mergeCell ref="E16:E18"/>
    <mergeCell ref="F16:F18"/>
    <mergeCell ref="G16:G18"/>
    <mergeCell ref="D19:D20"/>
    <mergeCell ref="E19:E20"/>
    <mergeCell ref="F19:F20"/>
    <mergeCell ref="E8:E11"/>
    <mergeCell ref="F8:F11"/>
    <mergeCell ref="G8:G11"/>
  </mergeCells>
  <phoneticPr fontId="20" type="noConversion"/>
  <printOptions horizontalCentered="1"/>
  <pageMargins left="7.874015748031496E-2" right="7.874015748031496E-2" top="0.39370078740157483" bottom="0.19685039370078741" header="0" footer="3.937007874015748E-2"/>
  <pageSetup paperSize="5" scale="38"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H7EN5MXTHQNV-1281-18</_dlc_DocId>
    <_dlc_DocIdUrl xmlns="ae9388c0-b1e2-40ea-b6a8-c51c7913cbd2">
      <Url>https://www.mincultura.gov.co/ministerio/oficinas-y-grupos/oficina%20asesora%20de%20planeacion/planeacion%20estrategica/_layouts/15/DocIdRedir.aspx?ID=H7EN5MXTHQNV-1281-18</Url>
      <Description>H7EN5MXTHQNV-1281-18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3BEF97-49B6-4944-860D-1D33FE5F24D1}"/>
</file>

<file path=customXml/itemProps2.xml><?xml version="1.0" encoding="utf-8"?>
<ds:datastoreItem xmlns:ds="http://schemas.openxmlformats.org/officeDocument/2006/customXml" ds:itemID="{A8A2B0A4-BB74-426F-B44F-5F6399A6DAE9}"/>
</file>

<file path=customXml/itemProps3.xml><?xml version="1.0" encoding="utf-8"?>
<ds:datastoreItem xmlns:ds="http://schemas.openxmlformats.org/officeDocument/2006/customXml" ds:itemID="{125EDB62-306D-445E-A5D2-6EF7A420C614}"/>
</file>

<file path=customXml/itemProps4.xml><?xml version="1.0" encoding="utf-8"?>
<ds:datastoreItem xmlns:ds="http://schemas.openxmlformats.org/officeDocument/2006/customXml" ds:itemID="{4DDC1BD1-FBAC-4FF2-95A3-6091B4D877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PEI_2019</vt:lpstr>
      <vt:lpstr>Tbla</vt:lpstr>
      <vt:lpstr>Plan_Estrategico_Institucio_(0)</vt:lpstr>
      <vt:lpstr>PEI 2019-2022</vt:lpstr>
      <vt:lpstr>'PEI 2019-2022'!Área_de_impresión</vt:lpstr>
      <vt:lpstr>'Plan_Estrategico_Institucio_(0)'!Área_de_impresión</vt:lpstr>
      <vt:lpstr>'PEI 2019-2022'!Títulos_a_imprimir</vt:lpstr>
      <vt:lpstr>'Plan_Estrategico_Institucio_(0)'!Títulos_a_imprimir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Hernando Gracia Jimenez</dc:creator>
  <cp:lastModifiedBy>Maria Juliana Zamora Nieto</cp:lastModifiedBy>
  <cp:lastPrinted>2020-10-27T17:22:42Z</cp:lastPrinted>
  <dcterms:created xsi:type="dcterms:W3CDTF">2019-10-09T19:55:58Z</dcterms:created>
  <dcterms:modified xsi:type="dcterms:W3CDTF">2022-05-20T21:18:00Z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8ada60d8-44b4-4f2b-b00e-d59abe1b3b06</vt:lpwstr>
  </property>
</Properties>
</file>